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5341" windowWidth="13095" windowHeight="7980" activeTab="0"/>
  </bookViews>
  <sheets>
    <sheet name="Registers -- Start" sheetId="1" r:id="rId1"/>
    <sheet name="ADD" sheetId="2" r:id="rId2"/>
    <sheet name="ADD #" sheetId="3" r:id="rId3"/>
    <sheet name="AND" sheetId="4" r:id="rId4"/>
    <sheet name="AND #" sheetId="5" r:id="rId5"/>
    <sheet name="BR" sheetId="6" r:id="rId6"/>
    <sheet name="JMP" sheetId="7" r:id="rId7"/>
    <sheet name="JSR" sheetId="8" r:id="rId8"/>
    <sheet name="JSRR" sheetId="9" r:id="rId9"/>
    <sheet name="LD" sheetId="10" r:id="rId10"/>
    <sheet name="LDI" sheetId="11" r:id="rId11"/>
    <sheet name="LDR" sheetId="12" r:id="rId12"/>
    <sheet name="LEA" sheetId="13" r:id="rId13"/>
    <sheet name="NOT" sheetId="14" r:id="rId14"/>
    <sheet name="RET" sheetId="15" r:id="rId15"/>
    <sheet name="RTI" sheetId="16" r:id="rId16"/>
    <sheet name="ST" sheetId="17" r:id="rId17"/>
    <sheet name="STI" sheetId="18" r:id="rId18"/>
    <sheet name="STR" sheetId="19" r:id="rId19"/>
    <sheet name="TRAP" sheetId="20" r:id="rId20"/>
  </sheets>
  <definedNames/>
  <calcPr fullCalcOnLoad="1"/>
</workbook>
</file>

<file path=xl/sharedStrings.xml><?xml version="1.0" encoding="utf-8"?>
<sst xmlns="http://schemas.openxmlformats.org/spreadsheetml/2006/main" count="162" uniqueCount="41">
  <si>
    <t>PC</t>
  </si>
  <si>
    <t>Z</t>
  </si>
  <si>
    <t>N</t>
  </si>
  <si>
    <t>P</t>
  </si>
  <si>
    <t>IR</t>
  </si>
  <si>
    <t>opcode</t>
  </si>
  <si>
    <t xml:space="preserve">Operate -- two register </t>
  </si>
  <si>
    <t>Operate -- register and immediate</t>
  </si>
  <si>
    <t>Destination</t>
  </si>
  <si>
    <t>NOT</t>
  </si>
  <si>
    <t>Source</t>
  </si>
  <si>
    <t>LD</t>
  </si>
  <si>
    <t>MAR</t>
  </si>
  <si>
    <t>LEA</t>
  </si>
  <si>
    <t>Value</t>
  </si>
  <si>
    <t>LDR</t>
  </si>
  <si>
    <t>Index</t>
  </si>
  <si>
    <t>Offset</t>
  </si>
  <si>
    <t>New PC</t>
  </si>
  <si>
    <t>LDI</t>
  </si>
  <si>
    <t>R7</t>
  </si>
  <si>
    <t>R6</t>
  </si>
  <si>
    <t>New R6</t>
  </si>
  <si>
    <t>Trap Vect</t>
  </si>
  <si>
    <t>offset</t>
  </si>
  <si>
    <t>HEX</t>
  </si>
  <si>
    <t>DEC</t>
  </si>
  <si>
    <t>JMP</t>
  </si>
  <si>
    <t>AND</t>
  </si>
  <si>
    <t>RET</t>
  </si>
  <si>
    <t>JSR</t>
  </si>
  <si>
    <t>JSRR</t>
  </si>
  <si>
    <t>PSR</t>
  </si>
  <si>
    <t>U</t>
  </si>
  <si>
    <t>PRI</t>
  </si>
  <si>
    <t>PC'</t>
  </si>
  <si>
    <t>R7'</t>
  </si>
  <si>
    <t>PC++</t>
  </si>
  <si>
    <t>R6+1</t>
  </si>
  <si>
    <t>R6+2</t>
  </si>
  <si>
    <t>New PSR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</si>
</sst>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26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6" borderId="1" xfId="0" applyFont="1" applyFill="1" applyBorder="1" applyAlignment="1" applyProtection="1">
      <alignment/>
      <protection/>
    </xf>
    <xf numFmtId="0" fontId="1" fillId="6" borderId="2" xfId="0" applyFont="1" applyFill="1" applyBorder="1" applyAlignment="1" applyProtection="1">
      <alignment/>
      <protection/>
    </xf>
    <xf numFmtId="0" fontId="1" fillId="7" borderId="0" xfId="0" applyFont="1" applyFill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3" borderId="3" xfId="0" applyFont="1" applyFill="1" applyBorder="1" applyAlignment="1" applyProtection="1">
      <alignment/>
      <protection locked="0"/>
    </xf>
    <xf numFmtId="0" fontId="1" fillId="3" borderId="4" xfId="0" applyFont="1" applyFill="1" applyBorder="1" applyAlignment="1" applyProtection="1">
      <alignment/>
      <protection locked="0"/>
    </xf>
    <xf numFmtId="0" fontId="1" fillId="6" borderId="1" xfId="0" applyFont="1" applyFill="1" applyBorder="1" applyAlignment="1">
      <alignment/>
    </xf>
    <xf numFmtId="0" fontId="1" fillId="7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" fillId="6" borderId="1" xfId="0" applyFont="1" applyFill="1" applyBorder="1" applyAlignment="1" applyProtection="1">
      <alignment horizontal="right"/>
      <protection/>
    </xf>
    <xf numFmtId="0" fontId="1" fillId="6" borderId="1" xfId="0" applyFont="1" applyFill="1" applyBorder="1" applyAlignment="1" applyProtection="1">
      <alignment/>
      <protection/>
    </xf>
    <xf numFmtId="0" fontId="1" fillId="8" borderId="0" xfId="0" applyFont="1" applyFill="1" applyAlignment="1" applyProtection="1">
      <alignment/>
      <protection locked="0"/>
    </xf>
    <xf numFmtId="0" fontId="1" fillId="6" borderId="1" xfId="0" applyFont="1" applyFill="1" applyBorder="1" applyAlignment="1" applyProtection="1">
      <alignment/>
      <protection/>
    </xf>
    <xf numFmtId="0" fontId="1" fillId="8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6" borderId="1" xfId="0" applyFont="1" applyFill="1" applyBorder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6" borderId="1" xfId="0" applyFont="1" applyFill="1" applyBorder="1" applyAlignment="1">
      <alignment horizontal="center"/>
    </xf>
    <xf numFmtId="0" fontId="1" fillId="9" borderId="0" xfId="0" applyFont="1" applyFill="1" applyAlignment="1" applyProtection="1">
      <alignment/>
      <protection/>
    </xf>
    <xf numFmtId="0" fontId="1" fillId="8" borderId="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8" borderId="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10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right"/>
    </xf>
    <xf numFmtId="0" fontId="1" fillId="10" borderId="3" xfId="0" applyFont="1" applyFill="1" applyBorder="1" applyAlignment="1">
      <alignment horizontal="right"/>
    </xf>
    <xf numFmtId="0" fontId="1" fillId="10" borderId="4" xfId="0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" fillId="6" borderId="1" xfId="0" applyFont="1" applyFill="1" applyBorder="1" applyAlignment="1" applyProtection="1">
      <alignment horizontal="left"/>
      <protection/>
    </xf>
    <xf numFmtId="0" fontId="1" fillId="10" borderId="1" xfId="0" applyFont="1" applyFill="1" applyBorder="1" applyAlignment="1" applyProtection="1">
      <alignment horizontal="right"/>
      <protection/>
    </xf>
    <xf numFmtId="0" fontId="1" fillId="6" borderId="1" xfId="0" applyFont="1" applyFill="1" applyBorder="1" applyAlignment="1" applyProtection="1">
      <alignment horizontal="left"/>
      <protection/>
    </xf>
    <xf numFmtId="0" fontId="1" fillId="10" borderId="1" xfId="0" applyFont="1" applyFill="1" applyBorder="1" applyAlignment="1" applyProtection="1">
      <alignment horizontal="right"/>
      <protection/>
    </xf>
    <xf numFmtId="0" fontId="2" fillId="10" borderId="2" xfId="0" applyFont="1" applyFill="1" applyBorder="1" applyAlignment="1" applyProtection="1">
      <alignment horizontal="right"/>
      <protection/>
    </xf>
    <xf numFmtId="0" fontId="2" fillId="10" borderId="3" xfId="0" applyFont="1" applyFill="1" applyBorder="1" applyAlignment="1" applyProtection="1">
      <alignment horizontal="right"/>
      <protection/>
    </xf>
    <xf numFmtId="0" fontId="2" fillId="10" borderId="4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2" xfId="0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 applyProtection="1">
      <alignment horizontal="right"/>
      <protection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16.7109375" style="14" customWidth="1"/>
    <col min="19" max="19" width="5.7109375" style="14" customWidth="1"/>
    <col min="20" max="23" width="3.7109375" style="14" customWidth="1"/>
    <col min="24" max="16384" width="9.140625" style="14" customWidth="1"/>
  </cols>
  <sheetData>
    <row r="1" spans="2:17" ht="12.75"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</row>
    <row r="2" spans="1:23" ht="27">
      <c r="A2" s="19">
        <v>0</v>
      </c>
      <c r="B2" s="11">
        <v>1</v>
      </c>
      <c r="C2" s="11">
        <v>0</v>
      </c>
      <c r="D2" s="11">
        <v>1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1</v>
      </c>
      <c r="O2" s="11">
        <v>1</v>
      </c>
      <c r="P2" s="11">
        <v>1</v>
      </c>
      <c r="Q2" s="11">
        <v>1</v>
      </c>
      <c r="R2" s="17">
        <f>B2*(-32768)+C2*16384+D2*8192+E2*4096+F2*2048+G2*1024+H2*512+I2*256+J2*128+K2*64+L2*32+M2*16+N2*8+O2*4+P2*2+Q2</f>
        <v>-20465</v>
      </c>
      <c r="T2" s="17" t="str">
        <f>IF(B2*8+C2*4+D2*2+E2&lt;10,CHAR(B2*8+C2*4+D2*2+E2+48),CHAR(B2*8+C2*4+D2*2+E2+55))</f>
        <v>B</v>
      </c>
      <c r="U2" s="17" t="str">
        <f>IF(F2*8+G2*4+H2*2+I2&lt;10,CHAR(F2*8+G2*4+H2*2+I2+48),CHAR(F2*8+G2*4+H2*2+I2+55))</f>
        <v>0</v>
      </c>
      <c r="V2" s="17" t="str">
        <f>IF(J2*8+K2*4+L2*2+M2&lt;10,CHAR(J2*8+K2*4+L2*2+M2+48),CHAR(J2*8+K2*4+L2*2+M2+55))</f>
        <v>0</v>
      </c>
      <c r="W2" s="17" t="str">
        <f>IF(N2*8+O2*4+P2*2+Q2&lt;10,CHAR(N2*8+O2*4+P2*2+Q2+48),CHAR(N2*8+O2*4+P2*2+Q2+55))</f>
        <v>F</v>
      </c>
    </row>
    <row r="3" spans="1:23" ht="27">
      <c r="A3" s="19">
        <v>1</v>
      </c>
      <c r="B3" s="11">
        <v>1</v>
      </c>
      <c r="C3" s="11">
        <v>0</v>
      </c>
      <c r="D3" s="11">
        <v>1</v>
      </c>
      <c r="E3" s="11">
        <v>1</v>
      </c>
      <c r="F3" s="11">
        <v>0</v>
      </c>
      <c r="G3" s="11">
        <v>0</v>
      </c>
      <c r="H3" s="11">
        <v>0</v>
      </c>
      <c r="I3" s="11">
        <v>1</v>
      </c>
      <c r="J3" s="11">
        <v>0</v>
      </c>
      <c r="K3" s="11">
        <v>0</v>
      </c>
      <c r="L3" s="11">
        <v>0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7">
        <f aca="true" t="shared" si="0" ref="R3:R11">B3*(-32768)+C3*16384+D3*8192+E3*4096+F3*2048+G3*1024+H3*512+I3*256+J3*128+K3*64+L3*32+M3*16+N3*8+O3*4+P3*2+Q3</f>
        <v>-20193</v>
      </c>
      <c r="T3" s="17" t="str">
        <f aca="true" t="shared" si="1" ref="T3:T9">IF(B3*8+C3*4+D3*2+E3&lt;10,CHAR(B3*8+C3*4+D3*2+E3+48),CHAR(B3*8+C3*4+D3*2+E3+55))</f>
        <v>B</v>
      </c>
      <c r="U3" s="17" t="str">
        <f aca="true" t="shared" si="2" ref="U3:U9">IF(F3*8+G3*4+H3*2+I3&lt;10,CHAR(F3*8+G3*4+H3*2+I3+48),CHAR(F3*8+G3*4+H3*2+I3+55))</f>
        <v>1</v>
      </c>
      <c r="V3" s="17" t="str">
        <f aca="true" t="shared" si="3" ref="V3:V9">IF(J3*8+K3*4+L3*2+M3&lt;10,CHAR(J3*8+K3*4+L3*2+M3+48),CHAR(J3*8+K3*4+L3*2+M3+55))</f>
        <v>1</v>
      </c>
      <c r="W3" s="17" t="str">
        <f aca="true" t="shared" si="4" ref="W3:W9">IF(N3*8+O3*4+P3*2+Q3&lt;10,CHAR(N3*8+O3*4+P3*2+Q3+48),CHAR(N3*8+O3*4+P3*2+Q3+55))</f>
        <v>F</v>
      </c>
    </row>
    <row r="4" spans="1:23" ht="27">
      <c r="A4" s="19">
        <v>2</v>
      </c>
      <c r="B4" s="11">
        <v>1</v>
      </c>
      <c r="C4" s="11">
        <v>0</v>
      </c>
      <c r="D4" s="11">
        <v>1</v>
      </c>
      <c r="E4" s="11">
        <v>1</v>
      </c>
      <c r="F4" s="11">
        <v>0</v>
      </c>
      <c r="G4" s="11">
        <v>0</v>
      </c>
      <c r="H4" s="11">
        <v>1</v>
      </c>
      <c r="I4" s="11">
        <v>0</v>
      </c>
      <c r="J4" s="11">
        <v>0</v>
      </c>
      <c r="K4" s="11">
        <v>0</v>
      </c>
      <c r="L4" s="11">
        <v>1</v>
      </c>
      <c r="M4" s="11">
        <v>0</v>
      </c>
      <c r="N4" s="11">
        <v>1</v>
      </c>
      <c r="O4" s="11">
        <v>1</v>
      </c>
      <c r="P4" s="11">
        <v>1</v>
      </c>
      <c r="Q4" s="11">
        <v>1</v>
      </c>
      <c r="R4" s="17">
        <f t="shared" si="0"/>
        <v>-19921</v>
      </c>
      <c r="T4" s="17" t="str">
        <f t="shared" si="1"/>
        <v>B</v>
      </c>
      <c r="U4" s="17" t="str">
        <f t="shared" si="2"/>
        <v>2</v>
      </c>
      <c r="V4" s="17" t="str">
        <f t="shared" si="3"/>
        <v>2</v>
      </c>
      <c r="W4" s="17" t="str">
        <f t="shared" si="4"/>
        <v>F</v>
      </c>
    </row>
    <row r="5" spans="1:23" ht="27">
      <c r="A5" s="19">
        <v>3</v>
      </c>
      <c r="B5" s="11">
        <v>1</v>
      </c>
      <c r="C5" s="11">
        <v>0</v>
      </c>
      <c r="D5" s="11">
        <v>1</v>
      </c>
      <c r="E5" s="11">
        <v>1</v>
      </c>
      <c r="F5" s="11">
        <v>0</v>
      </c>
      <c r="G5" s="11">
        <v>0</v>
      </c>
      <c r="H5" s="11">
        <v>1</v>
      </c>
      <c r="I5" s="11">
        <v>1</v>
      </c>
      <c r="J5" s="11">
        <v>0</v>
      </c>
      <c r="K5" s="11">
        <v>0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7">
        <f t="shared" si="0"/>
        <v>-19649</v>
      </c>
      <c r="T5" s="17" t="str">
        <f t="shared" si="1"/>
        <v>B</v>
      </c>
      <c r="U5" s="17" t="str">
        <f t="shared" si="2"/>
        <v>3</v>
      </c>
      <c r="V5" s="17" t="str">
        <f t="shared" si="3"/>
        <v>3</v>
      </c>
      <c r="W5" s="17" t="str">
        <f t="shared" si="4"/>
        <v>F</v>
      </c>
    </row>
    <row r="6" spans="1:23" ht="27">
      <c r="A6" s="19">
        <v>4</v>
      </c>
      <c r="B6" s="11">
        <v>1</v>
      </c>
      <c r="C6" s="11">
        <v>0</v>
      </c>
      <c r="D6" s="11">
        <v>1</v>
      </c>
      <c r="E6" s="11">
        <v>1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1</v>
      </c>
      <c r="O6" s="11">
        <v>1</v>
      </c>
      <c r="P6" s="11">
        <v>1</v>
      </c>
      <c r="Q6" s="11">
        <v>1</v>
      </c>
      <c r="R6" s="17">
        <f t="shared" si="0"/>
        <v>-19377</v>
      </c>
      <c r="T6" s="17" t="str">
        <f t="shared" si="1"/>
        <v>B</v>
      </c>
      <c r="U6" s="17" t="str">
        <f t="shared" si="2"/>
        <v>4</v>
      </c>
      <c r="V6" s="17" t="str">
        <f t="shared" si="3"/>
        <v>4</v>
      </c>
      <c r="W6" s="17" t="str">
        <f t="shared" si="4"/>
        <v>F</v>
      </c>
    </row>
    <row r="7" spans="1:23" ht="27">
      <c r="A7" s="19">
        <v>5</v>
      </c>
      <c r="B7" s="11">
        <v>1</v>
      </c>
      <c r="C7" s="11">
        <v>0</v>
      </c>
      <c r="D7" s="11">
        <v>1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1</v>
      </c>
      <c r="L7" s="11">
        <v>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7">
        <f t="shared" si="0"/>
        <v>-19105</v>
      </c>
      <c r="T7" s="17" t="str">
        <f t="shared" si="1"/>
        <v>B</v>
      </c>
      <c r="U7" s="17" t="str">
        <f t="shared" si="2"/>
        <v>5</v>
      </c>
      <c r="V7" s="17" t="str">
        <f t="shared" si="3"/>
        <v>5</v>
      </c>
      <c r="W7" s="17" t="str">
        <f t="shared" si="4"/>
        <v>F</v>
      </c>
    </row>
    <row r="8" spans="1:23" ht="27">
      <c r="A8" s="19">
        <v>6</v>
      </c>
      <c r="B8" s="11">
        <v>1</v>
      </c>
      <c r="C8" s="11">
        <v>0</v>
      </c>
      <c r="D8" s="11">
        <v>1</v>
      </c>
      <c r="E8" s="11">
        <v>1</v>
      </c>
      <c r="F8" s="11">
        <v>0</v>
      </c>
      <c r="G8" s="11">
        <v>1</v>
      </c>
      <c r="H8" s="11">
        <v>1</v>
      </c>
      <c r="I8" s="11">
        <v>0</v>
      </c>
      <c r="J8" s="11">
        <v>0</v>
      </c>
      <c r="K8" s="11">
        <v>1</v>
      </c>
      <c r="L8" s="11">
        <v>1</v>
      </c>
      <c r="M8" s="11">
        <v>0</v>
      </c>
      <c r="N8" s="11">
        <v>1</v>
      </c>
      <c r="O8" s="11">
        <v>1</v>
      </c>
      <c r="P8" s="11">
        <v>1</v>
      </c>
      <c r="Q8" s="11">
        <v>1</v>
      </c>
      <c r="R8" s="17">
        <f t="shared" si="0"/>
        <v>-18833</v>
      </c>
      <c r="T8" s="17" t="str">
        <f t="shared" si="1"/>
        <v>B</v>
      </c>
      <c r="U8" s="17" t="str">
        <f t="shared" si="2"/>
        <v>6</v>
      </c>
      <c r="V8" s="17" t="str">
        <f t="shared" si="3"/>
        <v>6</v>
      </c>
      <c r="W8" s="17" t="str">
        <f t="shared" si="4"/>
        <v>F</v>
      </c>
    </row>
    <row r="9" spans="1:23" ht="27">
      <c r="A9" s="19">
        <v>7</v>
      </c>
      <c r="B9" s="11">
        <v>1</v>
      </c>
      <c r="C9" s="11">
        <v>0</v>
      </c>
      <c r="D9" s="11">
        <v>1</v>
      </c>
      <c r="E9" s="11">
        <v>1</v>
      </c>
      <c r="F9" s="11">
        <v>0</v>
      </c>
      <c r="G9" s="11">
        <v>1</v>
      </c>
      <c r="H9" s="11">
        <v>1</v>
      </c>
      <c r="I9" s="11">
        <v>1</v>
      </c>
      <c r="J9" s="11">
        <v>0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7">
        <f t="shared" si="0"/>
        <v>-18561</v>
      </c>
      <c r="T9" s="17" t="str">
        <f t="shared" si="1"/>
        <v>B</v>
      </c>
      <c r="U9" s="17" t="str">
        <f t="shared" si="2"/>
        <v>7</v>
      </c>
      <c r="V9" s="17" t="str">
        <f t="shared" si="3"/>
        <v>7</v>
      </c>
      <c r="W9" s="17" t="str">
        <f t="shared" si="4"/>
        <v>F</v>
      </c>
    </row>
    <row r="11" spans="1:23" ht="27">
      <c r="A11" s="16" t="s">
        <v>0</v>
      </c>
      <c r="B11" s="11">
        <v>0</v>
      </c>
      <c r="C11" s="11">
        <v>0</v>
      </c>
      <c r="D11" s="11">
        <v>1</v>
      </c>
      <c r="E11" s="11">
        <v>1</v>
      </c>
      <c r="F11" s="11">
        <v>0</v>
      </c>
      <c r="G11" s="11">
        <v>1</v>
      </c>
      <c r="H11" s="11">
        <v>0</v>
      </c>
      <c r="I11" s="11">
        <v>1</v>
      </c>
      <c r="J11" s="11">
        <v>0</v>
      </c>
      <c r="K11" s="11">
        <v>1</v>
      </c>
      <c r="L11" s="11">
        <v>1</v>
      </c>
      <c r="M11" s="11">
        <v>1</v>
      </c>
      <c r="N11" s="11">
        <v>1</v>
      </c>
      <c r="O11" s="11">
        <v>0</v>
      </c>
      <c r="P11" s="11">
        <v>0</v>
      </c>
      <c r="Q11" s="11">
        <v>1</v>
      </c>
      <c r="R11" s="17">
        <f t="shared" si="0"/>
        <v>13689</v>
      </c>
      <c r="T11" s="17" t="str">
        <f>IF(B11*8+C11*4+D11*2+E11&lt;10,CHAR(B11*8+C11*4+D11*2+E11+48),CHAR(B11*8+C11*4+D11*2+E11+55))</f>
        <v>3</v>
      </c>
      <c r="U11" s="17" t="str">
        <f>IF(F11*8+G11*4+H11*2+I11&lt;10,CHAR(F11*8+G11*4+H11*2+I11+48),CHAR(F11*8+G11*4+H11*2+I11+55))</f>
        <v>5</v>
      </c>
      <c r="V11" s="17" t="str">
        <f>IF(J11*8+K11*4+L11*2+M11&lt;10,CHAR(J11*8+K11*4+L11*2+M11+48),CHAR(J11*8+K11*4+L11*2+M11+55))</f>
        <v>7</v>
      </c>
      <c r="W11" s="17" t="str">
        <f>IF(N11*8+O11*4+P11*2+Q11&lt;10,CHAR(N11*8+O11*4+P11*2+Q11+48),CHAR(N11*8+O11*4+P11*2+Q11+55))</f>
        <v>9</v>
      </c>
    </row>
    <row r="12" ht="12.75">
      <c r="A12" s="52"/>
    </row>
    <row r="13" spans="1:17" ht="27">
      <c r="A13" s="53" t="s">
        <v>32</v>
      </c>
      <c r="B13" s="11">
        <v>0</v>
      </c>
      <c r="C13" s="44">
        <v>0</v>
      </c>
      <c r="D13" s="44">
        <v>0</v>
      </c>
      <c r="E13" s="44">
        <v>0</v>
      </c>
      <c r="F13" s="44">
        <v>0</v>
      </c>
      <c r="G13" s="11">
        <v>0</v>
      </c>
      <c r="H13" s="11">
        <v>0</v>
      </c>
      <c r="I13" s="11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11">
        <v>1</v>
      </c>
      <c r="P13" s="11">
        <v>0</v>
      </c>
      <c r="Q13" s="11">
        <v>0</v>
      </c>
    </row>
    <row r="14" spans="1:17" ht="27">
      <c r="A14" s="54"/>
      <c r="B14" s="55" t="s">
        <v>33</v>
      </c>
      <c r="G14" s="58" t="s">
        <v>34</v>
      </c>
      <c r="H14" s="58"/>
      <c r="I14" s="58"/>
      <c r="O14" s="55" t="s">
        <v>2</v>
      </c>
      <c r="P14" s="55" t="s">
        <v>1</v>
      </c>
      <c r="Q14" s="55" t="s">
        <v>3</v>
      </c>
    </row>
    <row r="15" spans="1:18" ht="27">
      <c r="A15" s="16"/>
      <c r="B15" s="56">
        <f>B13</f>
        <v>0</v>
      </c>
      <c r="C15" s="57">
        <f aca="true" t="shared" si="5" ref="C15:Q15">C13</f>
        <v>0</v>
      </c>
      <c r="D15" s="57">
        <f t="shared" si="5"/>
        <v>0</v>
      </c>
      <c r="E15" s="57">
        <f t="shared" si="5"/>
        <v>0</v>
      </c>
      <c r="F15" s="57">
        <f t="shared" si="5"/>
        <v>0</v>
      </c>
      <c r="G15" s="59">
        <f>4*G13+2*H13+I13</f>
        <v>0</v>
      </c>
      <c r="H15" s="59"/>
      <c r="I15" s="59"/>
      <c r="J15" s="57">
        <f t="shared" si="5"/>
        <v>0</v>
      </c>
      <c r="K15" s="57">
        <f t="shared" si="5"/>
        <v>0</v>
      </c>
      <c r="L15" s="57">
        <f t="shared" si="5"/>
        <v>0</v>
      </c>
      <c r="M15" s="57">
        <f t="shared" si="5"/>
        <v>0</v>
      </c>
      <c r="N15" s="57">
        <f t="shared" si="5"/>
        <v>0</v>
      </c>
      <c r="O15" s="56">
        <f t="shared" si="5"/>
        <v>1</v>
      </c>
      <c r="P15" s="56">
        <f t="shared" si="5"/>
        <v>0</v>
      </c>
      <c r="Q15" s="56">
        <f t="shared" si="5"/>
        <v>0</v>
      </c>
      <c r="R15" s="24"/>
    </row>
    <row r="16" ht="12.75">
      <c r="R16" s="13"/>
    </row>
    <row r="17" ht="12.75">
      <c r="R17" s="13"/>
    </row>
  </sheetData>
  <sheetProtection sheet="1" objects="1" scenarios="1"/>
  <mergeCells count="2">
    <mergeCell ref="G14:I14"/>
    <mergeCell ref="G15:I1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  <col min="20" max="20" width="5.7109375" style="0" customWidth="1"/>
    <col min="21" max="21" width="15.7109375" style="0" customWidth="1"/>
  </cols>
  <sheetData>
    <row r="1" spans="1:21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  <c r="S1" s="26" t="s">
        <v>25</v>
      </c>
      <c r="U1" s="26" t="s">
        <v>26</v>
      </c>
    </row>
    <row r="2" spans="1:19" ht="27">
      <c r="A2" s="1" t="s">
        <v>4</v>
      </c>
      <c r="B2" s="29">
        <v>0</v>
      </c>
      <c r="C2" s="29">
        <v>0</v>
      </c>
      <c r="D2" s="29">
        <v>1</v>
      </c>
      <c r="E2" s="29">
        <v>0</v>
      </c>
      <c r="F2" s="11">
        <v>0</v>
      </c>
      <c r="G2" s="11">
        <v>1</v>
      </c>
      <c r="H2" s="11">
        <v>1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2741</v>
      </c>
    </row>
    <row r="4" spans="1:9" ht="25.5">
      <c r="A4" s="62" t="s">
        <v>5</v>
      </c>
      <c r="B4" s="62"/>
      <c r="C4" s="62"/>
      <c r="D4" s="63">
        <f>8*B2+4*C2+2*D2+E2</f>
        <v>2</v>
      </c>
      <c r="E4" s="63"/>
      <c r="F4" s="64" t="str">
        <f>INDEX({"BR","ADD","LD","ST","JSR","AND","LDR","STR","RTI","NOT","LDI","STI","JSRR","RET","LEA","TRAP"},1,D4+1)</f>
        <v>LD</v>
      </c>
      <c r="G4" s="64"/>
      <c r="H4" s="64"/>
      <c r="I4" s="64"/>
    </row>
    <row r="6" spans="2:17" ht="27">
      <c r="B6" s="68" t="s">
        <v>11</v>
      </c>
      <c r="C6" s="69"/>
      <c r="D6" s="69"/>
      <c r="E6" s="70"/>
      <c r="F6" s="67">
        <f>F2*4+G2*2+H2</f>
        <v>3</v>
      </c>
      <c r="G6" s="67"/>
      <c r="H6" s="67"/>
      <c r="I6" s="67">
        <f>I2*(-256)+J2*128+K2*64+L2*32+M2*16+N2*8+O2*4+P2*2+Q2</f>
        <v>-191</v>
      </c>
      <c r="J6" s="67"/>
      <c r="K6" s="67"/>
      <c r="L6" s="67"/>
      <c r="M6" s="67"/>
      <c r="N6" s="67"/>
      <c r="O6" s="67"/>
      <c r="P6" s="67"/>
      <c r="Q6" s="67"/>
    </row>
    <row r="7" spans="2:13" ht="23.25">
      <c r="B7" s="60" t="s">
        <v>8</v>
      </c>
      <c r="C7" s="60"/>
      <c r="D7" s="60"/>
      <c r="E7" s="60"/>
      <c r="F7" s="60"/>
      <c r="G7" s="60"/>
      <c r="H7" s="60"/>
      <c r="I7" s="90" t="str">
        <f>CONCATENATE("R",F6)</f>
        <v>R3</v>
      </c>
      <c r="J7" s="90"/>
      <c r="K7" s="90"/>
      <c r="L7" s="90"/>
      <c r="M7" s="90"/>
    </row>
    <row r="8" spans="2:13" ht="23.25">
      <c r="B8" s="60" t="s">
        <v>10</v>
      </c>
      <c r="C8" s="60"/>
      <c r="D8" s="60"/>
      <c r="E8" s="60"/>
      <c r="F8" s="60"/>
      <c r="G8" s="60"/>
      <c r="H8" s="60"/>
      <c r="I8" s="61" t="str">
        <f>CONCATENATE("M[",S13,"]")</f>
        <v>M[34BB]</v>
      </c>
      <c r="J8" s="61"/>
      <c r="K8" s="61"/>
      <c r="L8" s="61"/>
      <c r="M8" s="61"/>
    </row>
    <row r="10" spans="1:21" ht="27">
      <c r="A10" s="1" t="s">
        <v>0</v>
      </c>
      <c r="B10" s="2">
        <f>'Registers -- Start'!B11</f>
        <v>0</v>
      </c>
      <c r="C10" s="2">
        <f>'Registers -- Start'!C11</f>
        <v>0</v>
      </c>
      <c r="D10" s="2">
        <f>'Registers -- Start'!D11</f>
        <v>1</v>
      </c>
      <c r="E10" s="2">
        <f>'Registers -- Start'!E11</f>
        <v>1</v>
      </c>
      <c r="F10" s="2">
        <f>'Registers -- Start'!F11</f>
        <v>0</v>
      </c>
      <c r="G10" s="2">
        <f>'Registers -- Start'!G11</f>
        <v>1</v>
      </c>
      <c r="H10" s="2">
        <f>'Registers -- Start'!H11</f>
        <v>0</v>
      </c>
      <c r="I10" s="2">
        <f>'Registers -- Start'!I11</f>
        <v>1</v>
      </c>
      <c r="J10" s="2">
        <f>'Registers -- Start'!J11</f>
        <v>0</v>
      </c>
      <c r="K10" s="2">
        <f>'Registers -- Start'!K11</f>
        <v>1</v>
      </c>
      <c r="L10" s="2">
        <f>'Registers -- Start'!L11</f>
        <v>1</v>
      </c>
      <c r="M10" s="2">
        <f>'Registers -- Start'!M11</f>
        <v>1</v>
      </c>
      <c r="N10" s="2">
        <f>'Registers -- Start'!N11</f>
        <v>1</v>
      </c>
      <c r="O10" s="2">
        <f>'Registers -- Start'!O11</f>
        <v>0</v>
      </c>
      <c r="P10" s="2">
        <f>'Registers -- Start'!P11</f>
        <v>0</v>
      </c>
      <c r="Q10" s="2">
        <f>'Registers -- Start'!Q11</f>
        <v>1</v>
      </c>
      <c r="R10" s="9"/>
      <c r="S10" s="6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s="14" customFormat="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2" spans="1:21" ht="27">
      <c r="A12" s="3" t="s">
        <v>17</v>
      </c>
      <c r="B12" s="25">
        <f aca="true" t="shared" si="0" ref="B12:G12">C12</f>
        <v>1</v>
      </c>
      <c r="C12" s="25">
        <f t="shared" si="0"/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5">
        <f>I12</f>
        <v>1</v>
      </c>
      <c r="I12" s="2">
        <f>I2</f>
        <v>1</v>
      </c>
      <c r="J12" s="2">
        <f aca="true" t="shared" si="1" ref="J12:Q12">J2</f>
        <v>0</v>
      </c>
      <c r="K12" s="2">
        <f t="shared" si="1"/>
        <v>1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</v>
      </c>
      <c r="R12" s="9"/>
      <c r="S12" s="6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FF41</v>
      </c>
      <c r="U12" s="2">
        <f>B12*(-32768)+C12*16384+D12*8192+E12*4096+F12*2048+G12*1024+H12*512+I12*256+J12*128+K12*64+L12*32+M12*16+N12*8+O12*4+P12*2+Q12</f>
        <v>-191</v>
      </c>
    </row>
    <row r="13" spans="1:21" ht="27">
      <c r="A13" s="7" t="s">
        <v>12</v>
      </c>
      <c r="B13" s="2">
        <f>MOD(TRUNC((1048576+$U13)/32768),2)</f>
        <v>0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0</v>
      </c>
      <c r="I13" s="2">
        <f>MOD(TRUNC((1048576+$U13)/256),2)</f>
        <v>0</v>
      </c>
      <c r="J13" s="2">
        <f>MOD(TRUNC((1048576+$U13)/128),2)</f>
        <v>1</v>
      </c>
      <c r="K13" s="2">
        <f>MOD(TRUNC((1048576+$U13)/64),2)</f>
        <v>0</v>
      </c>
      <c r="L13" s="2">
        <f>MOD(TRUNC((1048576+$U13)/32),2)</f>
        <v>1</v>
      </c>
      <c r="M13" s="2">
        <f>MOD(TRUNC((1048576+$U13)/16),2)</f>
        <v>1</v>
      </c>
      <c r="N13" s="2">
        <f>MOD(TRUNC((1048576+$U13)/8),2)</f>
        <v>1</v>
      </c>
      <c r="O13" s="2">
        <f>MOD(TRUNC((1048576+$U13)/4),2)</f>
        <v>0</v>
      </c>
      <c r="P13" s="2">
        <f>MOD(TRUNC((1048576+$U13)/2),2)</f>
        <v>1</v>
      </c>
      <c r="Q13" s="2">
        <f>MOD(1048576+U13,2)</f>
        <v>1</v>
      </c>
      <c r="R13" s="10"/>
      <c r="S13" s="6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34BB</v>
      </c>
      <c r="U13" s="2">
        <f>U11+U12</f>
        <v>13499</v>
      </c>
    </row>
  </sheetData>
  <sheetProtection sheet="1" objects="1" scenarios="1"/>
  <mergeCells count="10">
    <mergeCell ref="I8:M8"/>
    <mergeCell ref="A4:C4"/>
    <mergeCell ref="D4:E4"/>
    <mergeCell ref="F4:I4"/>
    <mergeCell ref="B7:H7"/>
    <mergeCell ref="B8:H8"/>
    <mergeCell ref="B6:E6"/>
    <mergeCell ref="F6:H6"/>
    <mergeCell ref="I6:Q6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  <col min="20" max="20" width="5.7109375" style="0" customWidth="1"/>
    <col min="21" max="21" width="15.7109375" style="0" customWidth="1"/>
  </cols>
  <sheetData>
    <row r="1" spans="1:21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  <c r="S1" s="26" t="s">
        <v>25</v>
      </c>
      <c r="U1" s="26" t="s">
        <v>26</v>
      </c>
    </row>
    <row r="2" spans="1:19" ht="27">
      <c r="A2" s="1" t="s">
        <v>4</v>
      </c>
      <c r="B2" s="29">
        <v>1</v>
      </c>
      <c r="C2" s="29">
        <v>0</v>
      </c>
      <c r="D2" s="29">
        <v>1</v>
      </c>
      <c r="E2" s="29">
        <v>0</v>
      </c>
      <c r="F2" s="11">
        <v>0</v>
      </c>
      <c r="G2" s="11">
        <v>0</v>
      </c>
      <c r="H2" s="11">
        <v>1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A341</v>
      </c>
    </row>
    <row r="4" spans="1:9" ht="25.5">
      <c r="A4" s="62" t="s">
        <v>5</v>
      </c>
      <c r="B4" s="62"/>
      <c r="C4" s="62"/>
      <c r="D4" s="63">
        <f>8*B2+4*C2+2*D2+E2</f>
        <v>10</v>
      </c>
      <c r="E4" s="63"/>
      <c r="F4" s="64" t="str">
        <f>INDEX({"BR","ADD","LD","ST","JSR","AND","LDR","STR","RTI","NOT","LDI","STI","JSRR","RET","LEA","TRAP"},1,D4+1)</f>
        <v>LDI</v>
      </c>
      <c r="G4" s="64"/>
      <c r="H4" s="64"/>
      <c r="I4" s="64"/>
    </row>
    <row r="6" spans="2:17" ht="27">
      <c r="B6" s="68" t="s">
        <v>19</v>
      </c>
      <c r="C6" s="69"/>
      <c r="D6" s="69"/>
      <c r="E6" s="70"/>
      <c r="F6" s="67">
        <f>F2*4+G2*2+H2</f>
        <v>1</v>
      </c>
      <c r="G6" s="67"/>
      <c r="H6" s="67"/>
      <c r="I6" s="67">
        <f>I2*(-256)+J2*128+K2*64+L2*32+M2*16+N2*8+O2*4+P2*2+Q2</f>
        <v>-191</v>
      </c>
      <c r="J6" s="67"/>
      <c r="K6" s="67"/>
      <c r="L6" s="67"/>
      <c r="M6" s="67"/>
      <c r="N6" s="67"/>
      <c r="O6" s="67"/>
      <c r="P6" s="67"/>
      <c r="Q6" s="67"/>
    </row>
    <row r="7" spans="2:13" ht="23.25">
      <c r="B7" s="60" t="s">
        <v>8</v>
      </c>
      <c r="C7" s="60"/>
      <c r="D7" s="60"/>
      <c r="E7" s="60"/>
      <c r="F7" s="60"/>
      <c r="G7" s="60"/>
      <c r="H7" s="60"/>
      <c r="I7" s="90" t="str">
        <f>CONCATENATE("R",F6)</f>
        <v>R1</v>
      </c>
      <c r="J7" s="90"/>
      <c r="K7" s="90"/>
      <c r="L7" s="90"/>
      <c r="M7" s="90"/>
    </row>
    <row r="8" spans="2:13" ht="23.25">
      <c r="B8" s="60" t="s">
        <v>10</v>
      </c>
      <c r="C8" s="60"/>
      <c r="D8" s="60"/>
      <c r="E8" s="60"/>
      <c r="F8" s="60"/>
      <c r="G8" s="60"/>
      <c r="H8" s="60"/>
      <c r="I8" s="61" t="str">
        <f>CONCATENATE("M[M[",S13,"]]")</f>
        <v>M[M[34BB]]</v>
      </c>
      <c r="J8" s="61"/>
      <c r="K8" s="61"/>
      <c r="L8" s="61"/>
      <c r="M8" s="61"/>
    </row>
    <row r="10" spans="1:21" ht="27">
      <c r="A10" s="1" t="s">
        <v>0</v>
      </c>
      <c r="B10" s="2">
        <f>'Registers -- Start'!B11</f>
        <v>0</v>
      </c>
      <c r="C10" s="2">
        <f>'Registers -- Start'!C11</f>
        <v>0</v>
      </c>
      <c r="D10" s="2">
        <f>'Registers -- Start'!D11</f>
        <v>1</v>
      </c>
      <c r="E10" s="2">
        <f>'Registers -- Start'!E11</f>
        <v>1</v>
      </c>
      <c r="F10" s="2">
        <f>'Registers -- Start'!F11</f>
        <v>0</v>
      </c>
      <c r="G10" s="2">
        <f>'Registers -- Start'!G11</f>
        <v>1</v>
      </c>
      <c r="H10" s="2">
        <f>'Registers -- Start'!H11</f>
        <v>0</v>
      </c>
      <c r="I10" s="2">
        <f>'Registers -- Start'!I11</f>
        <v>1</v>
      </c>
      <c r="J10" s="2">
        <f>'Registers -- Start'!J11</f>
        <v>0</v>
      </c>
      <c r="K10" s="2">
        <f>'Registers -- Start'!K11</f>
        <v>1</v>
      </c>
      <c r="L10" s="2">
        <f>'Registers -- Start'!L11</f>
        <v>1</v>
      </c>
      <c r="M10" s="2">
        <f>'Registers -- Start'!M11</f>
        <v>1</v>
      </c>
      <c r="N10" s="2">
        <f>'Registers -- Start'!N11</f>
        <v>1</v>
      </c>
      <c r="O10" s="2">
        <f>'Registers -- Start'!O11</f>
        <v>0</v>
      </c>
      <c r="P10" s="2">
        <f>'Registers -- Start'!P11</f>
        <v>0</v>
      </c>
      <c r="Q10" s="2">
        <f>'Registers -- Start'!Q11</f>
        <v>1</v>
      </c>
      <c r="R10" s="9"/>
      <c r="S10" s="6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s="14" customFormat="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2" spans="1:21" ht="27">
      <c r="A12" s="8" t="s">
        <v>17</v>
      </c>
      <c r="B12" s="25">
        <f aca="true" t="shared" si="0" ref="B12:G12">C12</f>
        <v>1</v>
      </c>
      <c r="C12" s="25">
        <f t="shared" si="0"/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5">
        <f>I12</f>
        <v>1</v>
      </c>
      <c r="I12" s="2">
        <f>I2</f>
        <v>1</v>
      </c>
      <c r="J12" s="2">
        <f aca="true" t="shared" si="1" ref="J12:Q12">J2</f>
        <v>0</v>
      </c>
      <c r="K12" s="2">
        <f t="shared" si="1"/>
        <v>1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</v>
      </c>
      <c r="R12" s="9"/>
      <c r="S12" s="6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FF41</v>
      </c>
      <c r="U12" s="2">
        <f>B12*(-32768)+C12*16384+D12*8192+E12*4096+F12*2048+G12*1024+H12*512+I12*256+J12*128+K12*64+L12*32+M12*16+N12*8+O12*4+P12*2+Q12</f>
        <v>-191</v>
      </c>
    </row>
    <row r="13" spans="1:21" ht="27">
      <c r="A13" s="7" t="s">
        <v>12</v>
      </c>
      <c r="B13" s="2">
        <f>MOD(TRUNC((1048576+$U13)/32768),2)</f>
        <v>0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0</v>
      </c>
      <c r="I13" s="2">
        <f>MOD(TRUNC((1048576+$U13)/256),2)</f>
        <v>0</v>
      </c>
      <c r="J13" s="2">
        <f>MOD(TRUNC((1048576+$U13)/128),2)</f>
        <v>1</v>
      </c>
      <c r="K13" s="2">
        <f>MOD(TRUNC((1048576+$U13)/64),2)</f>
        <v>0</v>
      </c>
      <c r="L13" s="2">
        <f>MOD(TRUNC((1048576+$U13)/32),2)</f>
        <v>1</v>
      </c>
      <c r="M13" s="2">
        <f>MOD(TRUNC((1048576+$U13)/16),2)</f>
        <v>1</v>
      </c>
      <c r="N13" s="2">
        <f>MOD(TRUNC((1048576+$U13)/8),2)</f>
        <v>1</v>
      </c>
      <c r="O13" s="2">
        <f>MOD(TRUNC((1048576+$U13)/4),2)</f>
        <v>0</v>
      </c>
      <c r="P13" s="2">
        <f>MOD(TRUNC((1048576+$U13)/2),2)</f>
        <v>1</v>
      </c>
      <c r="Q13" s="2">
        <f>MOD(1048576+U13,2)</f>
        <v>1</v>
      </c>
      <c r="R13" s="10"/>
      <c r="S13" s="6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34BB</v>
      </c>
      <c r="U13" s="2">
        <f>U11+U12</f>
        <v>13499</v>
      </c>
    </row>
  </sheetData>
  <sheetProtection sheet="1" objects="1" scenarios="1"/>
  <mergeCells count="10">
    <mergeCell ref="I8:M8"/>
    <mergeCell ref="A4:C4"/>
    <mergeCell ref="D4:E4"/>
    <mergeCell ref="F4:I4"/>
    <mergeCell ref="B7:H7"/>
    <mergeCell ref="B8:H8"/>
    <mergeCell ref="B6:E6"/>
    <mergeCell ref="F6:H6"/>
    <mergeCell ref="I6:Q6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5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36" t="s">
        <v>25</v>
      </c>
      <c r="U1" s="36" t="s">
        <v>26</v>
      </c>
    </row>
    <row r="2" spans="1:19" ht="27">
      <c r="A2" s="16" t="s">
        <v>4</v>
      </c>
      <c r="B2" s="35">
        <v>0</v>
      </c>
      <c r="C2" s="35">
        <v>1</v>
      </c>
      <c r="D2" s="35">
        <v>1</v>
      </c>
      <c r="E2" s="35">
        <v>0</v>
      </c>
      <c r="F2" s="11">
        <v>0</v>
      </c>
      <c r="G2" s="11">
        <v>0</v>
      </c>
      <c r="H2" s="11">
        <v>1</v>
      </c>
      <c r="I2" s="11">
        <v>1</v>
      </c>
      <c r="J2" s="11">
        <v>0</v>
      </c>
      <c r="K2" s="11">
        <v>1</v>
      </c>
      <c r="L2" s="11">
        <v>1</v>
      </c>
      <c r="M2" s="11">
        <v>0</v>
      </c>
      <c r="N2" s="11">
        <v>1</v>
      </c>
      <c r="O2" s="11">
        <v>0</v>
      </c>
      <c r="P2" s="11">
        <v>0</v>
      </c>
      <c r="Q2" s="11">
        <v>1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6369</v>
      </c>
    </row>
    <row r="4" spans="1:9" ht="25.5">
      <c r="A4" s="74" t="s">
        <v>5</v>
      </c>
      <c r="B4" s="74"/>
      <c r="C4" s="74"/>
      <c r="D4" s="75">
        <f>8*B2+4*C2+2*D2+E2</f>
        <v>6</v>
      </c>
      <c r="E4" s="75"/>
      <c r="F4" s="76" t="str">
        <f>INDEX({"BR","ADD","LD","ST","JSR","AND","LDR","STR","RTI","NOT","LDI","STI","JSRR","RET","LEA","TRAP"},1,D4+1)</f>
        <v>LDR</v>
      </c>
      <c r="G4" s="76"/>
      <c r="H4" s="76"/>
      <c r="I4" s="76"/>
    </row>
    <row r="6" spans="2:17" ht="27">
      <c r="B6" s="81" t="s">
        <v>15</v>
      </c>
      <c r="C6" s="81"/>
      <c r="D6" s="81"/>
      <c r="E6" s="81"/>
      <c r="F6" s="80">
        <f>F2*4+G2*2+H2</f>
        <v>1</v>
      </c>
      <c r="G6" s="80"/>
      <c r="H6" s="80"/>
      <c r="I6" s="80">
        <f>4*I2+2*J2+K2</f>
        <v>5</v>
      </c>
      <c r="J6" s="80"/>
      <c r="K6" s="80"/>
      <c r="L6" s="80">
        <f>-32*L2+16*M2+8*N2+4*O2+2*P2+Q2</f>
        <v>-23</v>
      </c>
      <c r="M6" s="80"/>
      <c r="N6" s="80"/>
      <c r="O6" s="80"/>
      <c r="P6" s="80"/>
      <c r="Q6" s="80"/>
    </row>
    <row r="7" spans="2:13" ht="23.25">
      <c r="B7" s="77" t="s">
        <v>8</v>
      </c>
      <c r="C7" s="77"/>
      <c r="D7" s="77"/>
      <c r="E7" s="77"/>
      <c r="F7" s="77"/>
      <c r="G7" s="77"/>
      <c r="H7" s="77"/>
      <c r="I7" s="91" t="str">
        <f>CONCATENATE("R",F6)</f>
        <v>R1</v>
      </c>
      <c r="J7" s="91"/>
      <c r="K7" s="91"/>
      <c r="L7" s="91"/>
      <c r="M7" s="91"/>
    </row>
    <row r="8" spans="2:13" ht="23.25">
      <c r="B8" s="77" t="s">
        <v>16</v>
      </c>
      <c r="C8" s="77"/>
      <c r="D8" s="77"/>
      <c r="E8" s="77"/>
      <c r="F8" s="77"/>
      <c r="G8" s="77"/>
      <c r="H8" s="77"/>
      <c r="I8" s="78" t="str">
        <f>CONCATENATE("R",I6)</f>
        <v>R5</v>
      </c>
      <c r="J8" s="78"/>
      <c r="K8" s="78"/>
      <c r="L8" s="78"/>
      <c r="M8" s="78"/>
    </row>
    <row r="9" spans="2:13" ht="23.25">
      <c r="B9" s="77" t="s">
        <v>17</v>
      </c>
      <c r="C9" s="77"/>
      <c r="D9" s="77"/>
      <c r="E9" s="77"/>
      <c r="F9" s="77"/>
      <c r="G9" s="77"/>
      <c r="H9" s="77"/>
      <c r="I9" s="78">
        <f>L6</f>
        <v>-23</v>
      </c>
      <c r="J9" s="78"/>
      <c r="K9" s="78"/>
      <c r="L9" s="78"/>
      <c r="M9" s="78"/>
    </row>
    <row r="10" spans="2:13" ht="23.25">
      <c r="B10" s="77" t="s">
        <v>10</v>
      </c>
      <c r="C10" s="77"/>
      <c r="D10" s="77"/>
      <c r="E10" s="77"/>
      <c r="F10" s="77"/>
      <c r="G10" s="77"/>
      <c r="H10" s="77"/>
      <c r="I10" s="86" t="str">
        <f>CONCATENATE("M[",S14,"]")</f>
        <v>M[B548]</v>
      </c>
      <c r="J10" s="86"/>
      <c r="K10" s="86"/>
      <c r="L10" s="86"/>
      <c r="M10" s="86"/>
    </row>
    <row r="12" spans="1:21" ht="27">
      <c r="A12" s="16" t="str">
        <f>I8</f>
        <v>R5</v>
      </c>
      <c r="B12" s="17">
        <f>INDEX('Registers -- Start'!B2:B9,$I6+1,1)</f>
        <v>1</v>
      </c>
      <c r="C12" s="17">
        <f>INDEX('Registers -- Start'!C2:C9,$I6+1,1)</f>
        <v>0</v>
      </c>
      <c r="D12" s="17">
        <f>INDEX('Registers -- Start'!D2:D9,$I6+1,1)</f>
        <v>1</v>
      </c>
      <c r="E12" s="17">
        <f>INDEX('Registers -- Start'!E2:E9,$I6+1,1)</f>
        <v>1</v>
      </c>
      <c r="F12" s="17">
        <f>INDEX('Registers -- Start'!F2:F9,$I6+1,1)</f>
        <v>0</v>
      </c>
      <c r="G12" s="17">
        <f>INDEX('Registers -- Start'!G2:G9,$I6+1,1)</f>
        <v>1</v>
      </c>
      <c r="H12" s="17">
        <f>INDEX('Registers -- Start'!H2:H9,$I6+1,1)</f>
        <v>0</v>
      </c>
      <c r="I12" s="17">
        <f>INDEX('Registers -- Start'!I2:I9,$I6+1,1)</f>
        <v>1</v>
      </c>
      <c r="J12" s="17">
        <f>INDEX('Registers -- Start'!J2:J9,$I6+1,1)</f>
        <v>0</v>
      </c>
      <c r="K12" s="17">
        <f>INDEX('Registers -- Start'!K2:K9,$I6+1,1)</f>
        <v>1</v>
      </c>
      <c r="L12" s="17">
        <f>INDEX('Registers -- Start'!L2:L9,$I6+1,1)</f>
        <v>0</v>
      </c>
      <c r="M12" s="17">
        <f>INDEX('Registers -- Start'!M2:M9,$I6+1,1)</f>
        <v>1</v>
      </c>
      <c r="N12" s="17">
        <f>INDEX('Registers -- Start'!N2:N9,$I6+1,1)</f>
        <v>1</v>
      </c>
      <c r="O12" s="17">
        <f>INDEX('Registers -- Start'!O2:O9,$I6+1,1)</f>
        <v>1</v>
      </c>
      <c r="P12" s="17">
        <f>INDEX('Registers -- Start'!P2:P9,$I6+1,1)</f>
        <v>1</v>
      </c>
      <c r="Q12" s="17">
        <f>INDEX('Registers -- Start'!Q2:Q9,$I6+1,1)</f>
        <v>1</v>
      </c>
      <c r="R12" s="22"/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B55F</v>
      </c>
      <c r="U12" s="17">
        <f>B12*32768+C12*16384+D12*8192+E12*4096+F12*2048+G12*1024+H12*512+I12*256+J12*128+K12*64+L12*32+M12*16+N12*8+O12*4+P12*2+Q12</f>
        <v>46431</v>
      </c>
    </row>
    <row r="13" spans="1:21" ht="27">
      <c r="A13" s="45" t="s">
        <v>17</v>
      </c>
      <c r="B13" s="47">
        <f aca="true" t="shared" si="0" ref="B13:J13">C13</f>
        <v>1</v>
      </c>
      <c r="C13" s="47">
        <f t="shared" si="0"/>
        <v>1</v>
      </c>
      <c r="D13" s="47">
        <f t="shared" si="0"/>
        <v>1</v>
      </c>
      <c r="E13" s="47">
        <f t="shared" si="0"/>
        <v>1</v>
      </c>
      <c r="F13" s="47">
        <f t="shared" si="0"/>
        <v>1</v>
      </c>
      <c r="G13" s="47">
        <f t="shared" si="0"/>
        <v>1</v>
      </c>
      <c r="H13" s="47">
        <f t="shared" si="0"/>
        <v>1</v>
      </c>
      <c r="I13" s="47">
        <f t="shared" si="0"/>
        <v>1</v>
      </c>
      <c r="J13" s="47">
        <f t="shared" si="0"/>
        <v>1</v>
      </c>
      <c r="K13" s="47">
        <f>L13</f>
        <v>1</v>
      </c>
      <c r="L13" s="17">
        <f aca="true" t="shared" si="1" ref="L13:Q13">L2</f>
        <v>1</v>
      </c>
      <c r="M13" s="17">
        <f t="shared" si="1"/>
        <v>0</v>
      </c>
      <c r="N13" s="17">
        <f t="shared" si="1"/>
        <v>1</v>
      </c>
      <c r="O13" s="17">
        <f t="shared" si="1"/>
        <v>0</v>
      </c>
      <c r="P13" s="17">
        <f t="shared" si="1"/>
        <v>0</v>
      </c>
      <c r="Q13" s="17">
        <f t="shared" si="1"/>
        <v>1</v>
      </c>
      <c r="R13" s="22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FFE9</v>
      </c>
      <c r="U13" s="17">
        <f>-B13*32768+C13*16384+D13*8192+E13*4096+F13*2048+G13*1024+H13*512+I13*256+J13*128+K13*64+L13*32+M13*16+N13*8+O13*4+P13*2+Q13</f>
        <v>-23</v>
      </c>
    </row>
    <row r="14" spans="1:21" ht="27">
      <c r="A14" s="48" t="s">
        <v>12</v>
      </c>
      <c r="B14" s="17">
        <f>MOD(TRUNC((1048576+$U14)/32768),2)</f>
        <v>1</v>
      </c>
      <c r="C14" s="17">
        <f>MOD(TRUNC((1048576+$U14)/16384),2)</f>
        <v>0</v>
      </c>
      <c r="D14" s="17">
        <f>MOD(TRUNC((1048576+$U14)/8192),2)</f>
        <v>1</v>
      </c>
      <c r="E14" s="17">
        <f>MOD(TRUNC((1048576+$U14)/4096),2)</f>
        <v>1</v>
      </c>
      <c r="F14" s="17">
        <f>MOD(TRUNC((1048576+$U14)/2048),2)</f>
        <v>0</v>
      </c>
      <c r="G14" s="17">
        <f>MOD(TRUNC((1048576+$U14)/1024),2)</f>
        <v>1</v>
      </c>
      <c r="H14" s="17">
        <f>MOD(TRUNC((1048576+$U14)/512),2)</f>
        <v>0</v>
      </c>
      <c r="I14" s="17">
        <f>MOD(TRUNC((1048576+$U14)/256),2)</f>
        <v>1</v>
      </c>
      <c r="J14" s="17">
        <f>MOD(TRUNC((1048576+$U14)/128),2)</f>
        <v>0</v>
      </c>
      <c r="K14" s="17">
        <f>MOD(TRUNC((1048576+$U14)/64),2)</f>
        <v>1</v>
      </c>
      <c r="L14" s="17">
        <f>MOD(TRUNC((1048576+$U14)/32),2)</f>
        <v>0</v>
      </c>
      <c r="M14" s="17">
        <f>MOD(TRUNC((1048576+$U14)/16),2)</f>
        <v>0</v>
      </c>
      <c r="N14" s="17">
        <f>MOD(TRUNC((1048576+$U14)/8),2)</f>
        <v>1</v>
      </c>
      <c r="O14" s="17">
        <f>MOD(TRUNC((1048576+$U14)/4),2)</f>
        <v>0</v>
      </c>
      <c r="P14" s="17">
        <f>MOD(TRUNC((1048576+$U14)/2),2)</f>
        <v>0</v>
      </c>
      <c r="Q14" s="17">
        <f>MOD(1048576+U14,2)</f>
        <v>0</v>
      </c>
      <c r="R14" s="21"/>
      <c r="S14" s="18" t="str">
        <f>CONCATENATE(IF(B14*8+C14*4+D14*2+E14&lt;10,CHAR(B14*8+C14*4+D14*2+E14+48),CHAR(B14*8+C14*4+D14*2+E14+55)),IF(F14*8+G14*4+H14*2+I14&lt;10,CHAR(F14*8+G14*4+H14*2+I14+48),CHAR(F14*8+G14*4+H14*2+I14+55)),IF(J14*8+K14*4+L14*2+M14&lt;10,CHAR(J14*8+K14*4+L14*2+M14+48),CHAR(J14*8+K14*4+L14*2+M14+55)),IF(N14*8+O14*4+P14*2+Q14&lt;10,CHAR(N14*8+O14*4+P14*2+Q14+48),CHAR(N14*8+O14*4+P14*2+Q14+55)))</f>
        <v>B548</v>
      </c>
      <c r="U14" s="17">
        <f>U12+U13</f>
        <v>46408</v>
      </c>
    </row>
  </sheetData>
  <sheetProtection/>
  <mergeCells count="15">
    <mergeCell ref="I6:K6"/>
    <mergeCell ref="L6:Q6"/>
    <mergeCell ref="I7:M7"/>
    <mergeCell ref="B8:H8"/>
    <mergeCell ref="I8:M8"/>
    <mergeCell ref="B9:H9"/>
    <mergeCell ref="I9:M9"/>
    <mergeCell ref="I10:M10"/>
    <mergeCell ref="A4:C4"/>
    <mergeCell ref="D4:E4"/>
    <mergeCell ref="F4:I4"/>
    <mergeCell ref="B7:H7"/>
    <mergeCell ref="B10:H10"/>
    <mergeCell ref="B6:E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  <col min="20" max="20" width="5.7109375" style="0" customWidth="1"/>
    <col min="21" max="21" width="15.7109375" style="0" customWidth="1"/>
  </cols>
  <sheetData>
    <row r="1" spans="1:21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  <c r="S1" s="26" t="s">
        <v>25</v>
      </c>
      <c r="U1" s="26" t="s">
        <v>26</v>
      </c>
    </row>
    <row r="2" spans="1:19" ht="27">
      <c r="A2" s="1" t="s">
        <v>4</v>
      </c>
      <c r="B2" s="29">
        <v>1</v>
      </c>
      <c r="C2" s="29">
        <v>1</v>
      </c>
      <c r="D2" s="29">
        <v>1</v>
      </c>
      <c r="E2" s="29">
        <v>0</v>
      </c>
      <c r="F2" s="11">
        <v>0</v>
      </c>
      <c r="G2" s="11">
        <v>0</v>
      </c>
      <c r="H2" s="11">
        <v>1</v>
      </c>
      <c r="I2" s="11">
        <v>1</v>
      </c>
      <c r="J2" s="11">
        <v>0</v>
      </c>
      <c r="K2" s="11">
        <v>1</v>
      </c>
      <c r="L2" s="11">
        <v>0</v>
      </c>
      <c r="M2" s="11">
        <v>1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E351</v>
      </c>
    </row>
    <row r="4" spans="1:9" ht="25.5">
      <c r="A4" s="62" t="s">
        <v>5</v>
      </c>
      <c r="B4" s="62"/>
      <c r="C4" s="62"/>
      <c r="D4" s="63">
        <f>8*B2+4*C2+2*D2+E2</f>
        <v>14</v>
      </c>
      <c r="E4" s="63"/>
      <c r="F4" s="64" t="str">
        <f>INDEX({"BR","ADD","LD","ST","JSR","AND","LDR","STR","RTI","NOT","LDI","STI","JSRR","RET","LEA","TRAP"},1,D4+1)</f>
        <v>LEA</v>
      </c>
      <c r="G4" s="64"/>
      <c r="H4" s="64"/>
      <c r="I4" s="64"/>
    </row>
    <row r="6" spans="2:17" ht="27">
      <c r="B6" s="68" t="s">
        <v>13</v>
      </c>
      <c r="C6" s="69"/>
      <c r="D6" s="69"/>
      <c r="E6" s="70"/>
      <c r="F6" s="67">
        <f>F2*4+G2*2+H2</f>
        <v>1</v>
      </c>
      <c r="G6" s="67"/>
      <c r="H6" s="67"/>
      <c r="I6" s="67">
        <f>I2*(-256)+J2*128+K2*64+L2*32+M2*16+N2*8+O2*4+P2*2+Q2</f>
        <v>-175</v>
      </c>
      <c r="J6" s="67"/>
      <c r="K6" s="67"/>
      <c r="L6" s="67"/>
      <c r="M6" s="67"/>
      <c r="N6" s="67"/>
      <c r="O6" s="67"/>
      <c r="P6" s="67"/>
      <c r="Q6" s="67"/>
    </row>
    <row r="7" spans="2:13" ht="23.25">
      <c r="B7" s="60" t="s">
        <v>8</v>
      </c>
      <c r="C7" s="60"/>
      <c r="D7" s="60"/>
      <c r="E7" s="60"/>
      <c r="F7" s="60"/>
      <c r="G7" s="60"/>
      <c r="H7" s="60"/>
      <c r="I7" s="90" t="str">
        <f>CONCATENATE("R",F6)</f>
        <v>R1</v>
      </c>
      <c r="J7" s="90"/>
      <c r="K7" s="90"/>
      <c r="L7" s="90"/>
      <c r="M7" s="90"/>
    </row>
    <row r="8" spans="2:13" ht="23.25">
      <c r="B8" s="60" t="s">
        <v>14</v>
      </c>
      <c r="C8" s="60"/>
      <c r="D8" s="60"/>
      <c r="E8" s="60"/>
      <c r="F8" s="60"/>
      <c r="G8" s="60"/>
      <c r="H8" s="60"/>
      <c r="I8" s="61" t="str">
        <f>S13</f>
        <v>34CB</v>
      </c>
      <c r="J8" s="61"/>
      <c r="K8" s="61"/>
      <c r="L8" s="61"/>
      <c r="M8" s="61"/>
    </row>
    <row r="10" spans="1:21" ht="27">
      <c r="A10" s="1" t="s">
        <v>0</v>
      </c>
      <c r="B10" s="2">
        <f>'Registers -- Start'!B11</f>
        <v>0</v>
      </c>
      <c r="C10" s="2">
        <f>'Registers -- Start'!C11</f>
        <v>0</v>
      </c>
      <c r="D10" s="2">
        <f>'Registers -- Start'!D11</f>
        <v>1</v>
      </c>
      <c r="E10" s="2">
        <f>'Registers -- Start'!E11</f>
        <v>1</v>
      </c>
      <c r="F10" s="2">
        <f>'Registers -- Start'!F11</f>
        <v>0</v>
      </c>
      <c r="G10" s="2">
        <f>'Registers -- Start'!G11</f>
        <v>1</v>
      </c>
      <c r="H10" s="2">
        <f>'Registers -- Start'!H11</f>
        <v>0</v>
      </c>
      <c r="I10" s="2">
        <f>'Registers -- Start'!I11</f>
        <v>1</v>
      </c>
      <c r="J10" s="2">
        <f>'Registers -- Start'!J11</f>
        <v>0</v>
      </c>
      <c r="K10" s="2">
        <f>'Registers -- Start'!K11</f>
        <v>1</v>
      </c>
      <c r="L10" s="2">
        <f>'Registers -- Start'!L11</f>
        <v>1</v>
      </c>
      <c r="M10" s="2">
        <f>'Registers -- Start'!M11</f>
        <v>1</v>
      </c>
      <c r="N10" s="2">
        <f>'Registers -- Start'!N11</f>
        <v>1</v>
      </c>
      <c r="O10" s="2">
        <f>'Registers -- Start'!O11</f>
        <v>0</v>
      </c>
      <c r="P10" s="2">
        <f>'Registers -- Start'!P11</f>
        <v>0</v>
      </c>
      <c r="Q10" s="2">
        <f>'Registers -- Start'!Q11</f>
        <v>1</v>
      </c>
      <c r="R10" s="9"/>
      <c r="S10" s="6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s="14" customFormat="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2" spans="1:21" ht="27">
      <c r="A12" s="8" t="s">
        <v>17</v>
      </c>
      <c r="B12" s="25">
        <f aca="true" t="shared" si="0" ref="B12:G12">C12</f>
        <v>1</v>
      </c>
      <c r="C12" s="25">
        <f t="shared" si="0"/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5">
        <f>I12</f>
        <v>1</v>
      </c>
      <c r="I12" s="2">
        <f>I2</f>
        <v>1</v>
      </c>
      <c r="J12" s="2">
        <f aca="true" t="shared" si="1" ref="J12:Q12">J2</f>
        <v>0</v>
      </c>
      <c r="K12" s="2">
        <f t="shared" si="1"/>
        <v>1</v>
      </c>
      <c r="L12" s="2">
        <f t="shared" si="1"/>
        <v>0</v>
      </c>
      <c r="M12" s="2">
        <f t="shared" si="1"/>
        <v>1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</v>
      </c>
      <c r="R12" s="9"/>
      <c r="S12" s="6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FF51</v>
      </c>
      <c r="U12" s="2">
        <f>B12*(-32768)+C12*16384+D12*8192+E12*4096+F12*2048+G12*1024+H12*512+I12*256+J12*128+K12*64+L12*32+M12*16+N12*8+O12*4+P12*2+Q12</f>
        <v>-175</v>
      </c>
    </row>
    <row r="13" spans="1:21" ht="27">
      <c r="A13" s="7" t="s">
        <v>12</v>
      </c>
      <c r="B13" s="2">
        <f>MOD(TRUNC((1048576+$U13)/32768),2)</f>
        <v>0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0</v>
      </c>
      <c r="I13" s="2">
        <f>MOD(TRUNC((1048576+$U13)/256),2)</f>
        <v>0</v>
      </c>
      <c r="J13" s="2">
        <f>MOD(TRUNC((1048576+$U13)/128),2)</f>
        <v>1</v>
      </c>
      <c r="K13" s="2">
        <f>MOD(TRUNC((1048576+$U13)/64),2)</f>
        <v>1</v>
      </c>
      <c r="L13" s="2">
        <f>MOD(TRUNC((1048576+$U13)/32),2)</f>
        <v>0</v>
      </c>
      <c r="M13" s="2">
        <f>MOD(TRUNC((1048576+$U13)/16),2)</f>
        <v>0</v>
      </c>
      <c r="N13" s="2">
        <f>MOD(TRUNC((1048576+$U13)/8),2)</f>
        <v>1</v>
      </c>
      <c r="O13" s="2">
        <f>MOD(TRUNC((1048576+$U13)/4),2)</f>
        <v>0</v>
      </c>
      <c r="P13" s="2">
        <f>MOD(TRUNC((1048576+$U13)/2),2)</f>
        <v>1</v>
      </c>
      <c r="Q13" s="2">
        <f>MOD(1048576+U13,2)</f>
        <v>1</v>
      </c>
      <c r="R13" s="10"/>
      <c r="S13" s="6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34CB</v>
      </c>
      <c r="U13" s="2">
        <f>U11+U12</f>
        <v>13515</v>
      </c>
    </row>
  </sheetData>
  <sheetProtection sheet="1" objects="1" scenarios="1"/>
  <mergeCells count="10">
    <mergeCell ref="I8:M8"/>
    <mergeCell ref="A4:C4"/>
    <mergeCell ref="D4:E4"/>
    <mergeCell ref="F4:I4"/>
    <mergeCell ref="B7:H7"/>
    <mergeCell ref="B8:H8"/>
    <mergeCell ref="B6:E6"/>
    <mergeCell ref="F6:H6"/>
    <mergeCell ref="I6:Q6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</cols>
  <sheetData>
    <row r="1" spans="1:17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</row>
    <row r="2" spans="1:17" ht="27">
      <c r="A2" s="1" t="s">
        <v>4</v>
      </c>
      <c r="B2" s="29">
        <v>1</v>
      </c>
      <c r="C2" s="29">
        <v>0</v>
      </c>
      <c r="D2" s="29">
        <v>0</v>
      </c>
      <c r="E2" s="29">
        <v>1</v>
      </c>
      <c r="F2" s="11">
        <v>0</v>
      </c>
      <c r="G2" s="11">
        <v>0</v>
      </c>
      <c r="H2" s="11">
        <v>1</v>
      </c>
      <c r="I2" s="11">
        <v>0</v>
      </c>
      <c r="J2" s="11">
        <v>0</v>
      </c>
      <c r="K2" s="11">
        <v>0</v>
      </c>
      <c r="L2" s="44">
        <v>1</v>
      </c>
      <c r="M2" s="44">
        <v>1</v>
      </c>
      <c r="N2" s="44">
        <v>1</v>
      </c>
      <c r="O2" s="44">
        <v>1</v>
      </c>
      <c r="P2" s="44">
        <v>1</v>
      </c>
      <c r="Q2" s="44">
        <v>1</v>
      </c>
    </row>
    <row r="4" spans="1:9" ht="25.5">
      <c r="A4" s="62" t="s">
        <v>5</v>
      </c>
      <c r="B4" s="62"/>
      <c r="C4" s="62"/>
      <c r="D4" s="63">
        <f>8*B2+4*C2+2*D2+E2</f>
        <v>9</v>
      </c>
      <c r="E4" s="63"/>
      <c r="F4" s="64" t="str">
        <f>INDEX({"BR","ADD","LD","ST","JSR","AND","LDR","STR","RTI","NOT","LDI","STI","JSRR","RET","LEA","TRAP"},1,D4+1)</f>
        <v>NOT</v>
      </c>
      <c r="G4" s="64"/>
      <c r="H4" s="64"/>
      <c r="I4" s="64"/>
    </row>
    <row r="6" spans="1:17" ht="27">
      <c r="A6" s="3"/>
      <c r="B6" s="65" t="s">
        <v>9</v>
      </c>
      <c r="C6" s="65"/>
      <c r="D6" s="65"/>
      <c r="E6" s="65"/>
      <c r="F6" s="67">
        <f>4*F2+2*G2+H2</f>
        <v>1</v>
      </c>
      <c r="G6" s="67"/>
      <c r="H6" s="67"/>
      <c r="I6" s="67">
        <f>4*I2+2*J2+K2</f>
        <v>0</v>
      </c>
      <c r="J6" s="67"/>
      <c r="K6" s="67"/>
      <c r="L6" s="49">
        <f aca="true" t="shared" si="0" ref="L6:Q6">L2</f>
        <v>1</v>
      </c>
      <c r="M6" s="49">
        <f t="shared" si="0"/>
        <v>1</v>
      </c>
      <c r="N6" s="49">
        <f t="shared" si="0"/>
        <v>1</v>
      </c>
      <c r="O6" s="49">
        <f t="shared" si="0"/>
        <v>1</v>
      </c>
      <c r="P6" s="49">
        <f t="shared" si="0"/>
        <v>1</v>
      </c>
      <c r="Q6" s="49">
        <f t="shared" si="0"/>
        <v>1</v>
      </c>
    </row>
    <row r="7" spans="2:11" ht="23.25">
      <c r="B7" s="60" t="s">
        <v>8</v>
      </c>
      <c r="C7" s="60"/>
      <c r="D7" s="60"/>
      <c r="E7" s="60"/>
      <c r="F7" s="60"/>
      <c r="G7" s="60"/>
      <c r="H7" s="60"/>
      <c r="I7" s="61" t="str">
        <f>CONCATENATE("R",F6)</f>
        <v>R1</v>
      </c>
      <c r="J7" s="61"/>
      <c r="K7" s="61"/>
    </row>
    <row r="8" spans="2:11" ht="23.25">
      <c r="B8" s="60" t="s">
        <v>10</v>
      </c>
      <c r="C8" s="60"/>
      <c r="D8" s="60"/>
      <c r="E8" s="60"/>
      <c r="F8" s="60"/>
      <c r="G8" s="60"/>
      <c r="H8" s="60"/>
      <c r="I8" s="61" t="str">
        <f>CONCATENATE("R",I6)</f>
        <v>R0</v>
      </c>
      <c r="J8" s="61"/>
      <c r="K8" s="61"/>
    </row>
  </sheetData>
  <sheetProtection sheet="1" objects="1" scenarios="1"/>
  <mergeCells count="10">
    <mergeCell ref="B8:H8"/>
    <mergeCell ref="I8:K8"/>
    <mergeCell ref="A4:C4"/>
    <mergeCell ref="D4:E4"/>
    <mergeCell ref="F4:I4"/>
    <mergeCell ref="B6:E6"/>
    <mergeCell ref="F6:H6"/>
    <mergeCell ref="I6:K6"/>
    <mergeCell ref="B7:H7"/>
    <mergeCell ref="I7:K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5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26" t="s">
        <v>25</v>
      </c>
      <c r="T1"/>
      <c r="U1" s="26" t="s">
        <v>26</v>
      </c>
    </row>
    <row r="2" spans="1:19" ht="27">
      <c r="A2" s="16" t="s">
        <v>4</v>
      </c>
      <c r="B2" s="35">
        <v>1</v>
      </c>
      <c r="C2" s="35">
        <v>1</v>
      </c>
      <c r="D2" s="35">
        <v>0</v>
      </c>
      <c r="E2" s="35">
        <v>0</v>
      </c>
      <c r="F2" s="42">
        <v>0</v>
      </c>
      <c r="G2" s="42">
        <v>0</v>
      </c>
      <c r="H2" s="42">
        <v>0</v>
      </c>
      <c r="I2" s="42">
        <v>1</v>
      </c>
      <c r="J2" s="42">
        <v>1</v>
      </c>
      <c r="K2" s="42">
        <v>1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C1C0</v>
      </c>
    </row>
    <row r="4" spans="1:9" ht="25.5">
      <c r="A4" s="74" t="s">
        <v>5</v>
      </c>
      <c r="B4" s="74"/>
      <c r="C4" s="74"/>
      <c r="D4" s="75">
        <f>8*B2+4*C2+2*D2+E2</f>
        <v>12</v>
      </c>
      <c r="E4" s="75"/>
      <c r="F4" s="76" t="s">
        <v>29</v>
      </c>
      <c r="G4" s="76"/>
      <c r="H4" s="76"/>
      <c r="I4" s="76"/>
    </row>
    <row r="6" spans="2:17" ht="27">
      <c r="B6" s="81" t="s">
        <v>29</v>
      </c>
      <c r="C6" s="81"/>
      <c r="D6" s="81"/>
      <c r="E6" s="81"/>
      <c r="F6" s="40">
        <v>0</v>
      </c>
      <c r="G6" s="40">
        <v>0</v>
      </c>
      <c r="H6" s="40">
        <v>0</v>
      </c>
      <c r="I6" s="43">
        <v>1</v>
      </c>
      <c r="J6" s="43">
        <v>1</v>
      </c>
      <c r="K6" s="43">
        <v>1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</row>
    <row r="8" spans="1:21" ht="27">
      <c r="A8" s="1" t="s">
        <v>20</v>
      </c>
      <c r="B8" s="17">
        <f>'Registers -- Start'!B9</f>
        <v>1</v>
      </c>
      <c r="C8" s="17">
        <f>'Registers -- Start'!C9</f>
        <v>0</v>
      </c>
      <c r="D8" s="17">
        <f>'Registers -- Start'!D9</f>
        <v>1</v>
      </c>
      <c r="E8" s="17">
        <f>'Registers -- Start'!E9</f>
        <v>1</v>
      </c>
      <c r="F8" s="17">
        <f>'Registers -- Start'!F9</f>
        <v>0</v>
      </c>
      <c r="G8" s="17">
        <f>'Registers -- Start'!G9</f>
        <v>1</v>
      </c>
      <c r="H8" s="17">
        <f>'Registers -- Start'!H9</f>
        <v>1</v>
      </c>
      <c r="I8" s="17">
        <f>'Registers -- Start'!I9</f>
        <v>1</v>
      </c>
      <c r="J8" s="17">
        <f>'Registers -- Start'!J9</f>
        <v>0</v>
      </c>
      <c r="K8" s="17">
        <f>'Registers -- Start'!K9</f>
        <v>1</v>
      </c>
      <c r="L8" s="17">
        <f>'Registers -- Start'!L9</f>
        <v>1</v>
      </c>
      <c r="M8" s="17">
        <f>'Registers -- Start'!M9</f>
        <v>1</v>
      </c>
      <c r="N8" s="17">
        <f>'Registers -- Start'!N9</f>
        <v>1</v>
      </c>
      <c r="O8" s="17">
        <f>'Registers -- Start'!O9</f>
        <v>1</v>
      </c>
      <c r="P8" s="17">
        <f>'Registers -- Start'!P9</f>
        <v>1</v>
      </c>
      <c r="Q8" s="17">
        <f>'Registers -- Start'!Q9</f>
        <v>1</v>
      </c>
      <c r="R8" s="9"/>
      <c r="S8" s="6" t="str">
        <f>CONCATENATE(IF(B8*8+C8*4+D8*2+E8&lt;10,CHAR(B8*8+C8*4+D8*2+E8+48),CHAR(B8*8+C8*4+D8*2+E8+55)),IF(F8*8+G8*4+H8*2+I8&lt;10,CHAR(F8*8+G8*4+H8*2+I8+48),CHAR(F8*8+G8*4+H8*2+I8+55)),IF(J8*8+K8*4+L8*2+M8&lt;10,CHAR(J8*8+K8*4+L8*2+M8+48),CHAR(J8*8+K8*4+L8*2+M8+55)),IF(N8*8+O8*4+P8*2+Q8&lt;10,CHAR(N8*8+O8*4+P8*2+Q8+48),CHAR(N8*8+O8*4+P8*2+Q8+55)))</f>
        <v>B77F</v>
      </c>
      <c r="U8" s="2">
        <f>B8*32768+C8*16384+D8*8192+E8*4096+F8*2048+G8*1024+H8*512+I8*256+J8*128+K8*64+L8*32+M8*16+N8*8+O8*4+P8*2+Q8</f>
        <v>46975</v>
      </c>
    </row>
    <row r="10" spans="1:21" ht="27">
      <c r="A10" s="16" t="s">
        <v>35</v>
      </c>
      <c r="B10" s="17">
        <f>B8</f>
        <v>1</v>
      </c>
      <c r="C10" s="17">
        <f aca="true" t="shared" si="0" ref="C10:Q10">C8</f>
        <v>0</v>
      </c>
      <c r="D10" s="17">
        <f t="shared" si="0"/>
        <v>1</v>
      </c>
      <c r="E10" s="17">
        <f t="shared" si="0"/>
        <v>1</v>
      </c>
      <c r="F10" s="17">
        <f t="shared" si="0"/>
        <v>0</v>
      </c>
      <c r="G10" s="17">
        <f t="shared" si="0"/>
        <v>1</v>
      </c>
      <c r="H10" s="17">
        <f t="shared" si="0"/>
        <v>1</v>
      </c>
      <c r="I10" s="17">
        <f t="shared" si="0"/>
        <v>1</v>
      </c>
      <c r="J10" s="17">
        <f t="shared" si="0"/>
        <v>0</v>
      </c>
      <c r="K10" s="17">
        <f t="shared" si="0"/>
        <v>1</v>
      </c>
      <c r="L10" s="17">
        <f t="shared" si="0"/>
        <v>1</v>
      </c>
      <c r="M10" s="17">
        <f t="shared" si="0"/>
        <v>1</v>
      </c>
      <c r="N10" s="17">
        <f t="shared" si="0"/>
        <v>1</v>
      </c>
      <c r="O10" s="17">
        <f t="shared" si="0"/>
        <v>1</v>
      </c>
      <c r="P10" s="17">
        <f t="shared" si="0"/>
        <v>1</v>
      </c>
      <c r="Q10" s="17">
        <f t="shared" si="0"/>
        <v>1</v>
      </c>
      <c r="R10" s="22"/>
      <c r="S10" s="18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B77F</v>
      </c>
      <c r="U10" s="17">
        <f>B10*32768+C10*16384+D10*8192+E10*4096+F10*2048+G10*1024+H10*512+I10*256+J10*128+K10*64+L10*32+M10*16+N10*8+O10*4+P10*2+Q10</f>
        <v>46975</v>
      </c>
    </row>
  </sheetData>
  <sheetProtection sheet="1" objects="1" scenarios="1"/>
  <mergeCells count="4">
    <mergeCell ref="B6:E6"/>
    <mergeCell ref="A4:C4"/>
    <mergeCell ref="D4:E4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5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26" t="s">
        <v>25</v>
      </c>
      <c r="T1"/>
      <c r="U1" s="26" t="s">
        <v>26</v>
      </c>
    </row>
    <row r="2" spans="1:19" ht="27">
      <c r="A2" s="16" t="s">
        <v>4</v>
      </c>
      <c r="B2" s="35">
        <v>1</v>
      </c>
      <c r="C2" s="35">
        <v>0</v>
      </c>
      <c r="D2" s="35">
        <v>0</v>
      </c>
      <c r="E2" s="35">
        <v>0</v>
      </c>
      <c r="F2" s="42">
        <v>0</v>
      </c>
      <c r="G2" s="42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8000</v>
      </c>
    </row>
    <row r="4" spans="1:9" ht="25.5">
      <c r="A4" s="74" t="s">
        <v>5</v>
      </c>
      <c r="B4" s="74"/>
      <c r="C4" s="74"/>
      <c r="D4" s="75">
        <f>8*B2+4*C2+2*D2+E2</f>
        <v>8</v>
      </c>
      <c r="E4" s="75"/>
      <c r="F4" s="76" t="str">
        <f>IF(D4=0,INDEX({"BRNOP","BRp","BRz","BRzp","BRn","BRnp","BRnz","BRnzp"},1,4*F2+2*G2+H2+1),IF(D4=4,IF(F2=0,"JMP","JSR"),IF(D4=12,IF(F2=0,"JMPR","JSRR"),INDEX({"!!","ADD","LD","ST","!!","AND","LDR","STR","RTI","NOT","LDI","STI","!!","RET","LEA","TRAP"},1,D4+1))))</f>
        <v>RTI</v>
      </c>
      <c r="G4" s="76"/>
      <c r="H4" s="76"/>
      <c r="I4" s="76"/>
    </row>
    <row r="6" spans="2:17" ht="27">
      <c r="B6" s="87" t="str">
        <f>F4</f>
        <v>RTI</v>
      </c>
      <c r="C6" s="87"/>
      <c r="D6" s="87"/>
      <c r="E6" s="87"/>
      <c r="F6" s="27">
        <f>F2</f>
        <v>0</v>
      </c>
      <c r="G6" s="27">
        <f aca="true" t="shared" si="0" ref="G6:Q6">G2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</row>
    <row r="7" spans="2:13" ht="23.25">
      <c r="B7" s="77" t="s">
        <v>18</v>
      </c>
      <c r="C7" s="77"/>
      <c r="D7" s="77"/>
      <c r="E7" s="77"/>
      <c r="F7" s="77"/>
      <c r="G7" s="77"/>
      <c r="H7" s="77"/>
      <c r="I7" s="78" t="str">
        <f>CONCATENATE("M[",S11,"]")</f>
        <v>M[B66F]</v>
      </c>
      <c r="J7" s="78"/>
      <c r="K7" s="78"/>
      <c r="L7" s="78"/>
      <c r="M7" s="78"/>
    </row>
    <row r="8" spans="2:13" ht="23.25">
      <c r="B8" s="77" t="s">
        <v>40</v>
      </c>
      <c r="C8" s="77"/>
      <c r="D8" s="77"/>
      <c r="E8" s="77"/>
      <c r="F8" s="77"/>
      <c r="G8" s="77"/>
      <c r="H8" s="77"/>
      <c r="I8" s="78" t="str">
        <f>CONCATENATE("M[",S12,"]")</f>
        <v>M[B670]</v>
      </c>
      <c r="J8" s="78"/>
      <c r="K8" s="78"/>
      <c r="L8" s="78"/>
      <c r="M8" s="78"/>
    </row>
    <row r="9" spans="2:13" ht="23.25">
      <c r="B9" s="77" t="s">
        <v>22</v>
      </c>
      <c r="C9" s="77"/>
      <c r="D9" s="77"/>
      <c r="E9" s="77"/>
      <c r="F9" s="77"/>
      <c r="G9" s="77"/>
      <c r="H9" s="77"/>
      <c r="I9" s="86" t="str">
        <f>S13</f>
        <v>B671</v>
      </c>
      <c r="J9" s="86"/>
      <c r="K9" s="86"/>
      <c r="L9" s="86"/>
      <c r="M9" s="86"/>
    </row>
    <row r="11" spans="1:21" ht="27">
      <c r="A11" s="19" t="s">
        <v>21</v>
      </c>
      <c r="B11" s="17">
        <f>'Registers -- Start'!B8</f>
        <v>1</v>
      </c>
      <c r="C11" s="17">
        <f>'Registers -- Start'!C8</f>
        <v>0</v>
      </c>
      <c r="D11" s="17">
        <f>'Registers -- Start'!D8</f>
        <v>1</v>
      </c>
      <c r="E11" s="17">
        <f>'Registers -- Start'!E8</f>
        <v>1</v>
      </c>
      <c r="F11" s="17">
        <f>'Registers -- Start'!F8</f>
        <v>0</v>
      </c>
      <c r="G11" s="17">
        <f>'Registers -- Start'!G8</f>
        <v>1</v>
      </c>
      <c r="H11" s="17">
        <f>'Registers -- Start'!H8</f>
        <v>1</v>
      </c>
      <c r="I11" s="17">
        <f>'Registers -- Start'!I8</f>
        <v>0</v>
      </c>
      <c r="J11" s="17">
        <f>'Registers -- Start'!J8</f>
        <v>0</v>
      </c>
      <c r="K11" s="17">
        <f>'Registers -- Start'!K8</f>
        <v>1</v>
      </c>
      <c r="L11" s="17">
        <f>'Registers -- Start'!L8</f>
        <v>1</v>
      </c>
      <c r="M11" s="17">
        <f>'Registers -- Start'!M8</f>
        <v>0</v>
      </c>
      <c r="N11" s="17">
        <f>'Registers -- Start'!N8</f>
        <v>1</v>
      </c>
      <c r="O11" s="17">
        <f>'Registers -- Start'!O8</f>
        <v>1</v>
      </c>
      <c r="P11" s="17">
        <f>'Registers -- Start'!P8</f>
        <v>1</v>
      </c>
      <c r="Q11" s="17">
        <f>'Registers -- Start'!Q8</f>
        <v>1</v>
      </c>
      <c r="R11" s="9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B66F</v>
      </c>
      <c r="U11" s="2">
        <f>B11*32768+C11*16384+D11*8192+E11*4096+F11*2048+G11*1024+H11*512+I11*256+J11*128+K11*64+L11*32+M11*16+N11*8+O11*4+P11*2+Q11</f>
        <v>46703</v>
      </c>
    </row>
    <row r="12" spans="1:21" ht="27">
      <c r="A12" s="20" t="s">
        <v>38</v>
      </c>
      <c r="B12" s="2">
        <f>MOD(TRUNC((1048576+$U12)/32768),2)</f>
        <v>1</v>
      </c>
      <c r="C12" s="2">
        <f>MOD(TRUNC((1048576+$U12)/16384),2)</f>
        <v>0</v>
      </c>
      <c r="D12" s="2">
        <f>MOD(TRUNC((1048576+$U12)/8192),2)</f>
        <v>1</v>
      </c>
      <c r="E12" s="2">
        <f>MOD(TRUNC((1048576+$U12)/4096),2)</f>
        <v>1</v>
      </c>
      <c r="F12" s="2">
        <f>MOD(TRUNC((1048576+$U12)/2048),2)</f>
        <v>0</v>
      </c>
      <c r="G12" s="2">
        <f>MOD(TRUNC((1048576+$U12)/1024),2)</f>
        <v>1</v>
      </c>
      <c r="H12" s="2">
        <f>MOD(TRUNC((1048576+$U12)/512),2)</f>
        <v>1</v>
      </c>
      <c r="I12" s="2">
        <f>MOD(TRUNC((1048576+$U12)/256),2)</f>
        <v>0</v>
      </c>
      <c r="J12" s="2">
        <f>MOD(TRUNC((1048576+$U12)/128),2)</f>
        <v>0</v>
      </c>
      <c r="K12" s="2">
        <f>MOD(TRUNC((1048576+$U12)/64),2)</f>
        <v>1</v>
      </c>
      <c r="L12" s="2">
        <f>MOD(TRUNC((1048576+$U12)/32),2)</f>
        <v>1</v>
      </c>
      <c r="M12" s="2">
        <f>MOD(TRUNC((1048576+$U12)/16),2)</f>
        <v>1</v>
      </c>
      <c r="N12" s="2">
        <f>MOD(TRUNC((1048576+$U12)/8),2)</f>
        <v>0</v>
      </c>
      <c r="O12" s="2">
        <f>MOD(TRUNC((1048576+$U12)/4),2)</f>
        <v>0</v>
      </c>
      <c r="P12" s="2">
        <f>MOD(TRUNC((1048576+$U12)/2),2)</f>
        <v>0</v>
      </c>
      <c r="Q12" s="2">
        <f>MOD(1048576+U12,2)</f>
        <v>0</v>
      </c>
      <c r="R12" s="21"/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B670</v>
      </c>
      <c r="U12" s="17">
        <f>IF(U11=65535,0,U11+1)</f>
        <v>46704</v>
      </c>
    </row>
    <row r="13" spans="1:21" ht="27">
      <c r="A13" s="20" t="s">
        <v>39</v>
      </c>
      <c r="B13" s="2">
        <f>MOD(TRUNC((1048576+$U13)/32768),2)</f>
        <v>1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1</v>
      </c>
      <c r="I13" s="2">
        <f>MOD(TRUNC((1048576+$U13)/256),2)</f>
        <v>0</v>
      </c>
      <c r="J13" s="2">
        <f>MOD(TRUNC((1048576+$U13)/128),2)</f>
        <v>0</v>
      </c>
      <c r="K13" s="2">
        <f>MOD(TRUNC((1048576+$U13)/64),2)</f>
        <v>1</v>
      </c>
      <c r="L13" s="2">
        <f>MOD(TRUNC((1048576+$U13)/32),2)</f>
        <v>1</v>
      </c>
      <c r="M13" s="2">
        <f>MOD(TRUNC((1048576+$U13)/16),2)</f>
        <v>1</v>
      </c>
      <c r="N13" s="2">
        <f>MOD(TRUNC((1048576+$U13)/8),2)</f>
        <v>0</v>
      </c>
      <c r="O13" s="2">
        <f>MOD(TRUNC((1048576+$U13)/4),2)</f>
        <v>0</v>
      </c>
      <c r="P13" s="2">
        <f>MOD(TRUNC((1048576+$U13)/2),2)</f>
        <v>0</v>
      </c>
      <c r="Q13" s="2">
        <f>MOD(1048576+U13,2)</f>
        <v>1</v>
      </c>
      <c r="R13" s="21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B671</v>
      </c>
      <c r="U13" s="17">
        <f>IF(U12=65535,0,U12+1)</f>
        <v>46705</v>
      </c>
    </row>
    <row r="15" spans="1:17" ht="33">
      <c r="A15" s="19" t="s">
        <v>33</v>
      </c>
      <c r="B15" s="92">
        <f>IF(Q15=1,"Privilege Mode Exception","")</f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7">
        <f>'Registers -- Start'!B15</f>
        <v>0</v>
      </c>
    </row>
  </sheetData>
  <sheetProtection sheet="1" objects="1" scenarios="1"/>
  <mergeCells count="11">
    <mergeCell ref="B15:P15"/>
    <mergeCell ref="B6:E6"/>
    <mergeCell ref="B9:H9"/>
    <mergeCell ref="I9:M9"/>
    <mergeCell ref="B8:H8"/>
    <mergeCell ref="I8:M8"/>
    <mergeCell ref="A4:C4"/>
    <mergeCell ref="D4:E4"/>
    <mergeCell ref="F4:I4"/>
    <mergeCell ref="B7:H7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  <col min="20" max="20" width="5.7109375" style="0" customWidth="1"/>
    <col min="21" max="21" width="15.7109375" style="0" customWidth="1"/>
  </cols>
  <sheetData>
    <row r="1" spans="1:21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  <c r="S1" s="26" t="s">
        <v>25</v>
      </c>
      <c r="U1" s="26" t="s">
        <v>26</v>
      </c>
    </row>
    <row r="2" spans="1:19" ht="27">
      <c r="A2" s="1" t="s">
        <v>4</v>
      </c>
      <c r="B2" s="29">
        <v>0</v>
      </c>
      <c r="C2" s="29">
        <v>0</v>
      </c>
      <c r="D2" s="29">
        <v>1</v>
      </c>
      <c r="E2" s="29">
        <v>1</v>
      </c>
      <c r="F2" s="11">
        <v>0</v>
      </c>
      <c r="G2" s="11">
        <v>1</v>
      </c>
      <c r="H2" s="11">
        <v>1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3741</v>
      </c>
    </row>
    <row r="4" spans="1:9" ht="25.5">
      <c r="A4" s="62" t="s">
        <v>5</v>
      </c>
      <c r="B4" s="62"/>
      <c r="C4" s="62"/>
      <c r="D4" s="63">
        <f>8*B2+4*C2+2*D2+E2</f>
        <v>3</v>
      </c>
      <c r="E4" s="63"/>
      <c r="F4" s="64" t="str">
        <f>INDEX({"BR","ADD","LD","ST","JSR","AND","LDR","STR","RTI","NOT","LDI","STI","JSRR","RET","LEA","TRAP"},1,D4+1)</f>
        <v>ST</v>
      </c>
      <c r="G4" s="64"/>
      <c r="H4" s="64"/>
      <c r="I4" s="64"/>
    </row>
    <row r="6" spans="2:17" ht="27">
      <c r="B6" s="68" t="s">
        <v>11</v>
      </c>
      <c r="C6" s="69"/>
      <c r="D6" s="69"/>
      <c r="E6" s="70"/>
      <c r="F6" s="67">
        <f>F2*4+G2*2+H2</f>
        <v>3</v>
      </c>
      <c r="G6" s="67"/>
      <c r="H6" s="67"/>
      <c r="I6" s="67">
        <f>I2*(-256)+J2*128+K2*64+L2*32+M2*16+N2*8+O2*4+P2*2+Q2</f>
        <v>-191</v>
      </c>
      <c r="J6" s="67"/>
      <c r="K6" s="67"/>
      <c r="L6" s="67"/>
      <c r="M6" s="67"/>
      <c r="N6" s="67"/>
      <c r="O6" s="67"/>
      <c r="P6" s="67"/>
      <c r="Q6" s="67"/>
    </row>
    <row r="7" spans="2:13" ht="23.25">
      <c r="B7" s="60" t="s">
        <v>8</v>
      </c>
      <c r="C7" s="60"/>
      <c r="D7" s="60"/>
      <c r="E7" s="60"/>
      <c r="F7" s="60"/>
      <c r="G7" s="60"/>
      <c r="H7" s="60"/>
      <c r="I7" s="90" t="str">
        <f>CONCATENATE("R",F6)</f>
        <v>R3</v>
      </c>
      <c r="J7" s="90"/>
      <c r="K7" s="90"/>
      <c r="L7" s="90"/>
      <c r="M7" s="90"/>
    </row>
    <row r="8" spans="2:13" ht="23.25">
      <c r="B8" s="60" t="s">
        <v>10</v>
      </c>
      <c r="C8" s="60"/>
      <c r="D8" s="60"/>
      <c r="E8" s="60"/>
      <c r="F8" s="60"/>
      <c r="G8" s="60"/>
      <c r="H8" s="60"/>
      <c r="I8" s="61" t="str">
        <f>CONCATENATE("M[",S13,"]")</f>
        <v>M[34BB]</v>
      </c>
      <c r="J8" s="61"/>
      <c r="K8" s="61"/>
      <c r="L8" s="61"/>
      <c r="M8" s="61"/>
    </row>
    <row r="10" spans="1:21" ht="27">
      <c r="A10" s="1" t="s">
        <v>0</v>
      </c>
      <c r="B10" s="2">
        <f>'Registers -- Start'!B11</f>
        <v>0</v>
      </c>
      <c r="C10" s="2">
        <f>'Registers -- Start'!C11</f>
        <v>0</v>
      </c>
      <c r="D10" s="2">
        <f>'Registers -- Start'!D11</f>
        <v>1</v>
      </c>
      <c r="E10" s="2">
        <f>'Registers -- Start'!E11</f>
        <v>1</v>
      </c>
      <c r="F10" s="2">
        <f>'Registers -- Start'!F11</f>
        <v>0</v>
      </c>
      <c r="G10" s="2">
        <f>'Registers -- Start'!G11</f>
        <v>1</v>
      </c>
      <c r="H10" s="2">
        <f>'Registers -- Start'!H11</f>
        <v>0</v>
      </c>
      <c r="I10" s="2">
        <f>'Registers -- Start'!I11</f>
        <v>1</v>
      </c>
      <c r="J10" s="2">
        <f>'Registers -- Start'!J11</f>
        <v>0</v>
      </c>
      <c r="K10" s="2">
        <f>'Registers -- Start'!K11</f>
        <v>1</v>
      </c>
      <c r="L10" s="2">
        <f>'Registers -- Start'!L11</f>
        <v>1</v>
      </c>
      <c r="M10" s="2">
        <f>'Registers -- Start'!M11</f>
        <v>1</v>
      </c>
      <c r="N10" s="2">
        <f>'Registers -- Start'!N11</f>
        <v>1</v>
      </c>
      <c r="O10" s="2">
        <f>'Registers -- Start'!O11</f>
        <v>0</v>
      </c>
      <c r="P10" s="2">
        <f>'Registers -- Start'!P11</f>
        <v>0</v>
      </c>
      <c r="Q10" s="2">
        <f>'Registers -- Start'!Q11</f>
        <v>1</v>
      </c>
      <c r="R10" s="9"/>
      <c r="S10" s="6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s="14" customFormat="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2" spans="1:21" ht="27">
      <c r="A12" s="3" t="s">
        <v>17</v>
      </c>
      <c r="B12" s="25">
        <f aca="true" t="shared" si="0" ref="B12:H12">C12</f>
        <v>1</v>
      </c>
      <c r="C12" s="25">
        <f t="shared" si="0"/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5">
        <f t="shared" si="0"/>
        <v>1</v>
      </c>
      <c r="I12" s="2">
        <f aca="true" t="shared" si="1" ref="I12:Q12">I2</f>
        <v>1</v>
      </c>
      <c r="J12" s="2">
        <f t="shared" si="1"/>
        <v>0</v>
      </c>
      <c r="K12" s="2">
        <f t="shared" si="1"/>
        <v>1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</v>
      </c>
      <c r="R12" s="9"/>
      <c r="S12" s="6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FF41</v>
      </c>
      <c r="U12" s="2">
        <f>B12*(-32768)+C12*16384+D12*8192+E12*4096+F12*2048+G12*1024+H12*512+I12*256+J12*128+K12*64+L12*32+M12*16+N12*8+O12*4+P12*2+Q12</f>
        <v>-191</v>
      </c>
    </row>
    <row r="13" spans="1:21" ht="27">
      <c r="A13" s="7" t="s">
        <v>12</v>
      </c>
      <c r="B13" s="2">
        <f>MOD(TRUNC((1048576+$U13)/32768),2)</f>
        <v>0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0</v>
      </c>
      <c r="I13" s="2">
        <f>MOD(TRUNC((1048576+$U13)/256),2)</f>
        <v>0</v>
      </c>
      <c r="J13" s="2">
        <f>MOD(TRUNC((1048576+$U13)/128),2)</f>
        <v>1</v>
      </c>
      <c r="K13" s="2">
        <f>MOD(TRUNC((1048576+$U13)/64),2)</f>
        <v>0</v>
      </c>
      <c r="L13" s="2">
        <f>MOD(TRUNC((1048576+$U13)/32),2)</f>
        <v>1</v>
      </c>
      <c r="M13" s="2">
        <f>MOD(TRUNC((1048576+$U13)/16),2)</f>
        <v>1</v>
      </c>
      <c r="N13" s="2">
        <f>MOD(TRUNC((1048576+$U13)/8),2)</f>
        <v>1</v>
      </c>
      <c r="O13" s="2">
        <f>MOD(TRUNC((1048576+$U13)/4),2)</f>
        <v>0</v>
      </c>
      <c r="P13" s="2">
        <f>MOD(TRUNC((1048576+$U13)/2),2)</f>
        <v>1</v>
      </c>
      <c r="Q13" s="2">
        <f>MOD(1048576+U13,2)</f>
        <v>1</v>
      </c>
      <c r="R13" s="10"/>
      <c r="S13" s="6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34BB</v>
      </c>
      <c r="U13" s="2">
        <f>U11+U12</f>
        <v>13499</v>
      </c>
    </row>
  </sheetData>
  <sheetProtection sheet="1" objects="1" scenarios="1"/>
  <mergeCells count="10">
    <mergeCell ref="I8:M8"/>
    <mergeCell ref="A4:C4"/>
    <mergeCell ref="D4:E4"/>
    <mergeCell ref="F4:I4"/>
    <mergeCell ref="B7:H7"/>
    <mergeCell ref="B8:H8"/>
    <mergeCell ref="B6:E6"/>
    <mergeCell ref="F6:H6"/>
    <mergeCell ref="I6:Q6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  <col min="20" max="20" width="5.7109375" style="0" customWidth="1"/>
    <col min="21" max="21" width="15.7109375" style="0" customWidth="1"/>
  </cols>
  <sheetData>
    <row r="1" spans="1:21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  <c r="S1" s="26" t="s">
        <v>25</v>
      </c>
      <c r="U1" s="26" t="s">
        <v>26</v>
      </c>
    </row>
    <row r="2" spans="1:19" ht="27">
      <c r="A2" s="1" t="s">
        <v>4</v>
      </c>
      <c r="B2" s="29">
        <v>1</v>
      </c>
      <c r="C2" s="29">
        <v>0</v>
      </c>
      <c r="D2" s="29">
        <v>1</v>
      </c>
      <c r="E2" s="29">
        <v>1</v>
      </c>
      <c r="F2" s="11">
        <v>0</v>
      </c>
      <c r="G2" s="11">
        <v>0</v>
      </c>
      <c r="H2" s="11">
        <v>1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B341</v>
      </c>
    </row>
    <row r="4" spans="1:9" ht="25.5">
      <c r="A4" s="62" t="s">
        <v>5</v>
      </c>
      <c r="B4" s="62"/>
      <c r="C4" s="62"/>
      <c r="D4" s="63">
        <f>8*B2+4*C2+2*D2+E2</f>
        <v>11</v>
      </c>
      <c r="E4" s="63"/>
      <c r="F4" s="64" t="str">
        <f>INDEX({"BR","ADD","LD","ST","JSR","AND","LDR","STR","RTI","NOT","LDI","STI","JSRR","RET","LEA","TRAP"},1,D4+1)</f>
        <v>STI</v>
      </c>
      <c r="G4" s="64"/>
      <c r="H4" s="64"/>
      <c r="I4" s="64"/>
    </row>
    <row r="6" spans="2:17" ht="27">
      <c r="B6" s="68" t="s">
        <v>19</v>
      </c>
      <c r="C6" s="69"/>
      <c r="D6" s="69"/>
      <c r="E6" s="70"/>
      <c r="F6" s="67">
        <f>F2*4+G2*2+H2</f>
        <v>1</v>
      </c>
      <c r="G6" s="67"/>
      <c r="H6" s="67"/>
      <c r="I6" s="67">
        <f>I2*(-256)+J2*128+K2*64+L2*32+M2*16+N2*8+O2*4+P2*2+Q2</f>
        <v>-191</v>
      </c>
      <c r="J6" s="67"/>
      <c r="K6" s="67"/>
      <c r="L6" s="67"/>
      <c r="M6" s="67"/>
      <c r="N6" s="67"/>
      <c r="O6" s="67"/>
      <c r="P6" s="67"/>
      <c r="Q6" s="67"/>
    </row>
    <row r="7" spans="2:13" ht="23.25">
      <c r="B7" s="60" t="s">
        <v>8</v>
      </c>
      <c r="C7" s="60"/>
      <c r="D7" s="60"/>
      <c r="E7" s="60"/>
      <c r="F7" s="60"/>
      <c r="G7" s="60"/>
      <c r="H7" s="60"/>
      <c r="I7" s="90" t="str">
        <f>CONCATENATE("R",F6)</f>
        <v>R1</v>
      </c>
      <c r="J7" s="90"/>
      <c r="K7" s="90"/>
      <c r="L7" s="90"/>
      <c r="M7" s="90"/>
    </row>
    <row r="8" spans="2:13" ht="23.25">
      <c r="B8" s="60" t="s">
        <v>10</v>
      </c>
      <c r="C8" s="60"/>
      <c r="D8" s="60"/>
      <c r="E8" s="60"/>
      <c r="F8" s="60"/>
      <c r="G8" s="60"/>
      <c r="H8" s="60"/>
      <c r="I8" s="61" t="str">
        <f>CONCATENATE("M[M[",S13,"]]")</f>
        <v>M[M[34BB]]</v>
      </c>
      <c r="J8" s="61"/>
      <c r="K8" s="61"/>
      <c r="L8" s="61"/>
      <c r="M8" s="61"/>
    </row>
    <row r="10" spans="1:21" ht="27">
      <c r="A10" s="1" t="s">
        <v>0</v>
      </c>
      <c r="B10" s="2">
        <f>'Registers -- Start'!B11</f>
        <v>0</v>
      </c>
      <c r="C10" s="2">
        <f>'Registers -- Start'!C11</f>
        <v>0</v>
      </c>
      <c r="D10" s="2">
        <f>'Registers -- Start'!D11</f>
        <v>1</v>
      </c>
      <c r="E10" s="2">
        <f>'Registers -- Start'!E11</f>
        <v>1</v>
      </c>
      <c r="F10" s="2">
        <f>'Registers -- Start'!F11</f>
        <v>0</v>
      </c>
      <c r="G10" s="2">
        <f>'Registers -- Start'!G11</f>
        <v>1</v>
      </c>
      <c r="H10" s="2">
        <f>'Registers -- Start'!H11</f>
        <v>0</v>
      </c>
      <c r="I10" s="2">
        <f>'Registers -- Start'!I11</f>
        <v>1</v>
      </c>
      <c r="J10" s="2">
        <f>'Registers -- Start'!J11</f>
        <v>0</v>
      </c>
      <c r="K10" s="2">
        <f>'Registers -- Start'!K11</f>
        <v>1</v>
      </c>
      <c r="L10" s="2">
        <f>'Registers -- Start'!L11</f>
        <v>1</v>
      </c>
      <c r="M10" s="2">
        <f>'Registers -- Start'!M11</f>
        <v>1</v>
      </c>
      <c r="N10" s="2">
        <f>'Registers -- Start'!N11</f>
        <v>1</v>
      </c>
      <c r="O10" s="2">
        <f>'Registers -- Start'!O11</f>
        <v>0</v>
      </c>
      <c r="P10" s="2">
        <f>'Registers -- Start'!P11</f>
        <v>0</v>
      </c>
      <c r="Q10" s="2">
        <f>'Registers -- Start'!Q11</f>
        <v>1</v>
      </c>
      <c r="R10" s="9"/>
      <c r="S10" s="6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s="14" customFormat="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2" spans="1:21" ht="27">
      <c r="A12" s="8" t="s">
        <v>17</v>
      </c>
      <c r="B12" s="25">
        <f aca="true" t="shared" si="0" ref="B12:H12">C12</f>
        <v>1</v>
      </c>
      <c r="C12" s="25">
        <f t="shared" si="0"/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5">
        <f t="shared" si="0"/>
        <v>1</v>
      </c>
      <c r="I12" s="2">
        <f aca="true" t="shared" si="1" ref="I12:Q12">I2</f>
        <v>1</v>
      </c>
      <c r="J12" s="2">
        <f t="shared" si="1"/>
        <v>0</v>
      </c>
      <c r="K12" s="2">
        <f t="shared" si="1"/>
        <v>1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</v>
      </c>
      <c r="R12" s="9"/>
      <c r="S12" s="6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FF41</v>
      </c>
      <c r="U12" s="2">
        <f>B12*(-32768)+C12*16384+D12*8192+E12*4096+F12*2048+G12*1024+H12*512+I12*256+J12*128+K12*64+L12*32+M12*16+N12*8+O12*4+P12*2+Q12</f>
        <v>-191</v>
      </c>
    </row>
    <row r="13" spans="1:21" ht="27">
      <c r="A13" s="7" t="s">
        <v>12</v>
      </c>
      <c r="B13" s="2">
        <f>MOD(TRUNC((1048576+$U13)/32768),2)</f>
        <v>0</v>
      </c>
      <c r="C13" s="2">
        <f>MOD(TRUNC((1048576+$U13)/16384),2)</f>
        <v>0</v>
      </c>
      <c r="D13" s="2">
        <f>MOD(TRUNC((1048576+$U13)/8192),2)</f>
        <v>1</v>
      </c>
      <c r="E13" s="2">
        <f>MOD(TRUNC((1048576+$U13)/4096),2)</f>
        <v>1</v>
      </c>
      <c r="F13" s="2">
        <f>MOD(TRUNC((1048576+$U13)/2048),2)</f>
        <v>0</v>
      </c>
      <c r="G13" s="2">
        <f>MOD(TRUNC((1048576+$U13)/1024),2)</f>
        <v>1</v>
      </c>
      <c r="H13" s="2">
        <f>MOD(TRUNC((1048576+$U13)/512),2)</f>
        <v>0</v>
      </c>
      <c r="I13" s="2">
        <f>MOD(TRUNC((1048576+$U13)/256),2)</f>
        <v>0</v>
      </c>
      <c r="J13" s="2">
        <f>MOD(TRUNC((1048576+$U13)/128),2)</f>
        <v>1</v>
      </c>
      <c r="K13" s="2">
        <f>MOD(TRUNC((1048576+$U13)/64),2)</f>
        <v>0</v>
      </c>
      <c r="L13" s="2">
        <f>MOD(TRUNC((1048576+$U13)/32),2)</f>
        <v>1</v>
      </c>
      <c r="M13" s="2">
        <f>MOD(TRUNC((1048576+$U13)/16),2)</f>
        <v>1</v>
      </c>
      <c r="N13" s="2">
        <f>MOD(TRUNC((1048576+$U13)/8),2)</f>
        <v>1</v>
      </c>
      <c r="O13" s="2">
        <f>MOD(TRUNC((1048576+$U13)/4),2)</f>
        <v>0</v>
      </c>
      <c r="P13" s="2">
        <f>MOD(TRUNC((1048576+$U13)/2),2)</f>
        <v>1</v>
      </c>
      <c r="Q13" s="2">
        <f>MOD(1048576+U13,2)</f>
        <v>1</v>
      </c>
      <c r="R13" s="10"/>
      <c r="S13" s="6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34BB</v>
      </c>
      <c r="U13" s="2">
        <f>U11+U12</f>
        <v>13499</v>
      </c>
    </row>
  </sheetData>
  <sheetProtection sheet="1" objects="1" scenarios="1"/>
  <mergeCells count="10">
    <mergeCell ref="I8:M8"/>
    <mergeCell ref="A4:C4"/>
    <mergeCell ref="D4:E4"/>
    <mergeCell ref="F4:I4"/>
    <mergeCell ref="B7:H7"/>
    <mergeCell ref="B8:H8"/>
    <mergeCell ref="B6:E6"/>
    <mergeCell ref="F6:H6"/>
    <mergeCell ref="I6:Q6"/>
    <mergeCell ref="I7:M7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5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36" t="s">
        <v>25</v>
      </c>
      <c r="U1" s="36" t="s">
        <v>26</v>
      </c>
    </row>
    <row r="2" spans="1:19" ht="27">
      <c r="A2" s="16" t="s">
        <v>4</v>
      </c>
      <c r="B2" s="35">
        <v>0</v>
      </c>
      <c r="C2" s="35">
        <v>1</v>
      </c>
      <c r="D2" s="35">
        <v>1</v>
      </c>
      <c r="E2" s="35">
        <v>1</v>
      </c>
      <c r="F2" s="11">
        <v>0</v>
      </c>
      <c r="G2" s="11">
        <v>0</v>
      </c>
      <c r="H2" s="11">
        <v>1</v>
      </c>
      <c r="I2" s="11">
        <v>1</v>
      </c>
      <c r="J2" s="11">
        <v>0</v>
      </c>
      <c r="K2" s="11">
        <v>1</v>
      </c>
      <c r="L2" s="11">
        <v>1</v>
      </c>
      <c r="M2" s="11">
        <v>0</v>
      </c>
      <c r="N2" s="11">
        <v>1</v>
      </c>
      <c r="O2" s="11">
        <v>0</v>
      </c>
      <c r="P2" s="11">
        <v>0</v>
      </c>
      <c r="Q2" s="11">
        <v>1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7369</v>
      </c>
    </row>
    <row r="4" spans="1:9" ht="25.5">
      <c r="A4" s="74" t="s">
        <v>5</v>
      </c>
      <c r="B4" s="74"/>
      <c r="C4" s="74"/>
      <c r="D4" s="75">
        <f>8*B2+4*C2+2*D2+E2</f>
        <v>7</v>
      </c>
      <c r="E4" s="75"/>
      <c r="F4" s="76" t="str">
        <f>INDEX({"BR","ADD","LD","ST","JSR","AND","LDR","STR","RTI","NOT","LDI","STI","JSRR","RET","LEA","TRAP"},1,D4+1)</f>
        <v>STR</v>
      </c>
      <c r="G4" s="76"/>
      <c r="H4" s="76"/>
      <c r="I4" s="76"/>
    </row>
    <row r="6" spans="2:17" ht="27">
      <c r="B6" s="81" t="s">
        <v>15</v>
      </c>
      <c r="C6" s="81"/>
      <c r="D6" s="81"/>
      <c r="E6" s="81"/>
      <c r="F6" s="80">
        <f>F2*4+G2*2+H2</f>
        <v>1</v>
      </c>
      <c r="G6" s="80"/>
      <c r="H6" s="80"/>
      <c r="I6" s="80">
        <f>4*I2+2*J2+K2</f>
        <v>5</v>
      </c>
      <c r="J6" s="80"/>
      <c r="K6" s="80"/>
      <c r="L6" s="80">
        <f>-32*L2+16*M2+8*N2+4*O2+2*P2+Q2</f>
        <v>-23</v>
      </c>
      <c r="M6" s="80"/>
      <c r="N6" s="80"/>
      <c r="O6" s="80"/>
      <c r="P6" s="80"/>
      <c r="Q6" s="80"/>
    </row>
    <row r="7" spans="2:13" ht="23.25">
      <c r="B7" s="77" t="s">
        <v>8</v>
      </c>
      <c r="C7" s="77"/>
      <c r="D7" s="77"/>
      <c r="E7" s="77"/>
      <c r="F7" s="77"/>
      <c r="G7" s="77"/>
      <c r="H7" s="77"/>
      <c r="I7" s="91" t="str">
        <f>CONCATENATE("R",F6)</f>
        <v>R1</v>
      </c>
      <c r="J7" s="91"/>
      <c r="K7" s="91"/>
      <c r="L7" s="91"/>
      <c r="M7" s="91"/>
    </row>
    <row r="8" spans="2:13" ht="23.25">
      <c r="B8" s="77" t="s">
        <v>16</v>
      </c>
      <c r="C8" s="77"/>
      <c r="D8" s="77"/>
      <c r="E8" s="77"/>
      <c r="F8" s="77"/>
      <c r="G8" s="77"/>
      <c r="H8" s="77"/>
      <c r="I8" s="78" t="str">
        <f>CONCATENATE("R",I6)</f>
        <v>R5</v>
      </c>
      <c r="J8" s="78"/>
      <c r="K8" s="78"/>
      <c r="L8" s="78"/>
      <c r="M8" s="78"/>
    </row>
    <row r="9" spans="2:13" ht="23.25">
      <c r="B9" s="77" t="s">
        <v>17</v>
      </c>
      <c r="C9" s="77"/>
      <c r="D9" s="77"/>
      <c r="E9" s="77"/>
      <c r="F9" s="77"/>
      <c r="G9" s="77"/>
      <c r="H9" s="77"/>
      <c r="I9" s="78">
        <f>L6</f>
        <v>-23</v>
      </c>
      <c r="J9" s="78"/>
      <c r="K9" s="78"/>
      <c r="L9" s="78"/>
      <c r="M9" s="78"/>
    </row>
    <row r="10" spans="2:13" ht="23.25">
      <c r="B10" s="77" t="s">
        <v>10</v>
      </c>
      <c r="C10" s="77"/>
      <c r="D10" s="77"/>
      <c r="E10" s="77"/>
      <c r="F10" s="77"/>
      <c r="G10" s="77"/>
      <c r="H10" s="77"/>
      <c r="I10" s="86" t="str">
        <f>CONCATENATE("M[",S14,"]")</f>
        <v>M[B548]</v>
      </c>
      <c r="J10" s="86"/>
      <c r="K10" s="86"/>
      <c r="L10" s="86"/>
      <c r="M10" s="86"/>
    </row>
    <row r="12" spans="1:21" ht="27">
      <c r="A12" s="16" t="str">
        <f>I8</f>
        <v>R5</v>
      </c>
      <c r="B12" s="17">
        <f>INDEX('Registers -- Start'!B2:B9,$I6+1,1)</f>
        <v>1</v>
      </c>
      <c r="C12" s="17">
        <f>INDEX('Registers -- Start'!C2:C9,$I6+1,1)</f>
        <v>0</v>
      </c>
      <c r="D12" s="17">
        <f>INDEX('Registers -- Start'!D2:D9,$I6+1,1)</f>
        <v>1</v>
      </c>
      <c r="E12" s="17">
        <f>INDEX('Registers -- Start'!E2:E9,$I6+1,1)</f>
        <v>1</v>
      </c>
      <c r="F12" s="17">
        <f>INDEX('Registers -- Start'!F2:F9,$I6+1,1)</f>
        <v>0</v>
      </c>
      <c r="G12" s="17">
        <f>INDEX('Registers -- Start'!G2:G9,$I6+1,1)</f>
        <v>1</v>
      </c>
      <c r="H12" s="17">
        <f>INDEX('Registers -- Start'!H2:H9,$I6+1,1)</f>
        <v>0</v>
      </c>
      <c r="I12" s="17">
        <f>INDEX('Registers -- Start'!I2:I9,$I6+1,1)</f>
        <v>1</v>
      </c>
      <c r="J12" s="17">
        <f>INDEX('Registers -- Start'!J2:J9,$I6+1,1)</f>
        <v>0</v>
      </c>
      <c r="K12" s="17">
        <f>INDEX('Registers -- Start'!K2:K9,$I6+1,1)</f>
        <v>1</v>
      </c>
      <c r="L12" s="17">
        <f>INDEX('Registers -- Start'!L2:L9,$I6+1,1)</f>
        <v>0</v>
      </c>
      <c r="M12" s="17">
        <f>INDEX('Registers -- Start'!M2:M9,$I6+1,1)</f>
        <v>1</v>
      </c>
      <c r="N12" s="17">
        <f>INDEX('Registers -- Start'!N2:N9,$I6+1,1)</f>
        <v>1</v>
      </c>
      <c r="O12" s="17">
        <f>INDEX('Registers -- Start'!O2:O9,$I6+1,1)</f>
        <v>1</v>
      </c>
      <c r="P12" s="17">
        <f>INDEX('Registers -- Start'!P2:P9,$I6+1,1)</f>
        <v>1</v>
      </c>
      <c r="Q12" s="17">
        <f>INDEX('Registers -- Start'!Q2:Q9,$I6+1,1)</f>
        <v>1</v>
      </c>
      <c r="R12" s="22"/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B55F</v>
      </c>
      <c r="U12" s="17">
        <f>B12*32768+C12*16384+D12*8192+E12*4096+F12*2048+G12*1024+H12*512+I12*256+J12*128+K12*64+L12*32+M12*16+N12*8+O12*4+P12*2+Q12</f>
        <v>46431</v>
      </c>
    </row>
    <row r="13" spans="1:21" ht="27">
      <c r="A13" s="45" t="s">
        <v>17</v>
      </c>
      <c r="B13" s="47">
        <f aca="true" t="shared" si="0" ref="B13:K13">C13</f>
        <v>1</v>
      </c>
      <c r="C13" s="47">
        <f t="shared" si="0"/>
        <v>1</v>
      </c>
      <c r="D13" s="47">
        <f t="shared" si="0"/>
        <v>1</v>
      </c>
      <c r="E13" s="47">
        <f t="shared" si="0"/>
        <v>1</v>
      </c>
      <c r="F13" s="47">
        <f t="shared" si="0"/>
        <v>1</v>
      </c>
      <c r="G13" s="47">
        <f t="shared" si="0"/>
        <v>1</v>
      </c>
      <c r="H13" s="47">
        <f t="shared" si="0"/>
        <v>1</v>
      </c>
      <c r="I13" s="47">
        <f t="shared" si="0"/>
        <v>1</v>
      </c>
      <c r="J13" s="47">
        <f t="shared" si="0"/>
        <v>1</v>
      </c>
      <c r="K13" s="47">
        <f t="shared" si="0"/>
        <v>1</v>
      </c>
      <c r="L13" s="17">
        <f aca="true" t="shared" si="1" ref="L13:Q13">L2</f>
        <v>1</v>
      </c>
      <c r="M13" s="17">
        <f t="shared" si="1"/>
        <v>0</v>
      </c>
      <c r="N13" s="17">
        <f t="shared" si="1"/>
        <v>1</v>
      </c>
      <c r="O13" s="17">
        <f t="shared" si="1"/>
        <v>0</v>
      </c>
      <c r="P13" s="17">
        <f t="shared" si="1"/>
        <v>0</v>
      </c>
      <c r="Q13" s="17">
        <f t="shared" si="1"/>
        <v>1</v>
      </c>
      <c r="R13" s="22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FFE9</v>
      </c>
      <c r="U13" s="17">
        <f>-B13*32768+C13*16384+D13*8192+E13*4096+F13*2048+G13*1024+H13*512+I13*256+J13*128+K13*64+L13*32+M13*16+N13*8+O13*4+P13*2+Q13</f>
        <v>-23</v>
      </c>
    </row>
    <row r="14" spans="1:21" ht="27">
      <c r="A14" s="48" t="s">
        <v>12</v>
      </c>
      <c r="B14" s="17">
        <f>MOD(TRUNC((1048576+$U14)/32768),2)</f>
        <v>1</v>
      </c>
      <c r="C14" s="17">
        <f>MOD(TRUNC((1048576+$U14)/16384),2)</f>
        <v>0</v>
      </c>
      <c r="D14" s="17">
        <f>MOD(TRUNC((1048576+$U14)/8192),2)</f>
        <v>1</v>
      </c>
      <c r="E14" s="17">
        <f>MOD(TRUNC((1048576+$U14)/4096),2)</f>
        <v>1</v>
      </c>
      <c r="F14" s="17">
        <f>MOD(TRUNC((1048576+$U14)/2048),2)</f>
        <v>0</v>
      </c>
      <c r="G14" s="17">
        <f>MOD(TRUNC((1048576+$U14)/1024),2)</f>
        <v>1</v>
      </c>
      <c r="H14" s="17">
        <f>MOD(TRUNC((1048576+$U14)/512),2)</f>
        <v>0</v>
      </c>
      <c r="I14" s="17">
        <f>MOD(TRUNC((1048576+$U14)/256),2)</f>
        <v>1</v>
      </c>
      <c r="J14" s="17">
        <f>MOD(TRUNC((1048576+$U14)/128),2)</f>
        <v>0</v>
      </c>
      <c r="K14" s="17">
        <f>MOD(TRUNC((1048576+$U14)/64),2)</f>
        <v>1</v>
      </c>
      <c r="L14" s="17">
        <f>MOD(TRUNC((1048576+$U14)/32),2)</f>
        <v>0</v>
      </c>
      <c r="M14" s="17">
        <f>MOD(TRUNC((1048576+$U14)/16),2)</f>
        <v>0</v>
      </c>
      <c r="N14" s="17">
        <f>MOD(TRUNC((1048576+$U14)/8),2)</f>
        <v>1</v>
      </c>
      <c r="O14" s="17">
        <f>MOD(TRUNC((1048576+$U14)/4),2)</f>
        <v>0</v>
      </c>
      <c r="P14" s="17">
        <f>MOD(TRUNC((1048576+$U14)/2),2)</f>
        <v>0</v>
      </c>
      <c r="Q14" s="17">
        <f>MOD(1048576+U14,2)</f>
        <v>0</v>
      </c>
      <c r="R14" s="21"/>
      <c r="S14" s="18" t="str">
        <f>CONCATENATE(IF(B14*8+C14*4+D14*2+E14&lt;10,CHAR(B14*8+C14*4+D14*2+E14+48),CHAR(B14*8+C14*4+D14*2+E14+55)),IF(F14*8+G14*4+H14*2+I14&lt;10,CHAR(F14*8+G14*4+H14*2+I14+48),CHAR(F14*8+G14*4+H14*2+I14+55)),IF(J14*8+K14*4+L14*2+M14&lt;10,CHAR(J14*8+K14*4+L14*2+M14+48),CHAR(J14*8+K14*4+L14*2+M14+55)),IF(N14*8+O14*4+P14*2+Q14&lt;10,CHAR(N14*8+O14*4+P14*2+Q14+48),CHAR(N14*8+O14*4+P14*2+Q14+55)))</f>
        <v>B548</v>
      </c>
      <c r="U14" s="17">
        <f>U12+U13</f>
        <v>46408</v>
      </c>
    </row>
  </sheetData>
  <sheetProtection sheet="1" objects="1" scenarios="1"/>
  <mergeCells count="15">
    <mergeCell ref="B9:H9"/>
    <mergeCell ref="I9:M9"/>
    <mergeCell ref="I10:M10"/>
    <mergeCell ref="A4:C4"/>
    <mergeCell ref="D4:E4"/>
    <mergeCell ref="F4:I4"/>
    <mergeCell ref="B7:H7"/>
    <mergeCell ref="B10:H10"/>
    <mergeCell ref="B6:E6"/>
    <mergeCell ref="F6:H6"/>
    <mergeCell ref="I6:K6"/>
    <mergeCell ref="L6:Q6"/>
    <mergeCell ref="I7:M7"/>
    <mergeCell ref="B8:H8"/>
    <mergeCell ref="I8:M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</cols>
  <sheetData>
    <row r="1" spans="1:17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</row>
    <row r="2" spans="1:19" ht="27">
      <c r="A2" s="1" t="s">
        <v>4</v>
      </c>
      <c r="B2" s="30">
        <v>0</v>
      </c>
      <c r="C2" s="31">
        <v>0</v>
      </c>
      <c r="D2" s="31">
        <v>0</v>
      </c>
      <c r="E2" s="31">
        <v>1</v>
      </c>
      <c r="F2" s="32">
        <v>0</v>
      </c>
      <c r="G2" s="32">
        <v>0</v>
      </c>
      <c r="H2" s="32">
        <v>1</v>
      </c>
      <c r="I2" s="32">
        <v>0</v>
      </c>
      <c r="J2" s="32">
        <v>0</v>
      </c>
      <c r="K2" s="32">
        <v>0</v>
      </c>
      <c r="L2" s="51">
        <v>0</v>
      </c>
      <c r="M2" s="51">
        <v>0</v>
      </c>
      <c r="N2" s="51">
        <v>0</v>
      </c>
      <c r="O2" s="32">
        <v>0</v>
      </c>
      <c r="P2" s="32">
        <v>0</v>
      </c>
      <c r="Q2" s="33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1201</v>
      </c>
    </row>
    <row r="4" spans="1:9" ht="25.5">
      <c r="A4" s="62" t="s">
        <v>5</v>
      </c>
      <c r="B4" s="62"/>
      <c r="C4" s="62"/>
      <c r="D4" s="63">
        <f>8*B2+4*C2+2*D2+E2</f>
        <v>1</v>
      </c>
      <c r="E4" s="63"/>
      <c r="F4" s="64" t="str">
        <f>INDEX({"BR","ADD","LD","ST","JSR","AND","LDR","STR","RTI","NOT","LDI","STI","JSRR","RET","LEA","TRAP"},1,D4+1)</f>
        <v>ADD</v>
      </c>
      <c r="G4" s="64"/>
      <c r="H4" s="64"/>
      <c r="I4" s="64"/>
    </row>
    <row r="6" spans="1:17" ht="18">
      <c r="A6" s="3"/>
      <c r="B6" s="66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ht="27">
      <c r="B7" s="65" t="str">
        <f>IF(L2=0,"ADD","")</f>
        <v>ADD</v>
      </c>
      <c r="C7" s="65"/>
      <c r="D7" s="65"/>
      <c r="E7" s="65"/>
      <c r="F7" s="67">
        <f>IF(L2=0,4*F2+2*G2+H2,"")</f>
        <v>1</v>
      </c>
      <c r="G7" s="67"/>
      <c r="H7" s="67"/>
      <c r="I7" s="67">
        <f>IF(L2=0,4*I2+2*J2+K2,"")</f>
        <v>0</v>
      </c>
      <c r="J7" s="67"/>
      <c r="K7" s="67"/>
      <c r="L7" s="34">
        <f>IF(L2=0,0,"")</f>
        <v>0</v>
      </c>
      <c r="M7" s="34">
        <f>IF(L2=0,0,"")</f>
        <v>0</v>
      </c>
      <c r="N7" s="34">
        <f>IF(L2=0,0,"")</f>
        <v>0</v>
      </c>
      <c r="O7" s="67">
        <f>IF(L2=0,4*O2+2*P2+Q2,"")</f>
        <v>1</v>
      </c>
      <c r="P7" s="67"/>
      <c r="Q7" s="67"/>
    </row>
    <row r="8" spans="2:11" ht="23.25">
      <c r="B8" s="60" t="str">
        <f>IF(L2=0,"Destination","")</f>
        <v>Destination</v>
      </c>
      <c r="C8" s="60"/>
      <c r="D8" s="60"/>
      <c r="E8" s="60"/>
      <c r="F8" s="60"/>
      <c r="G8" s="60"/>
      <c r="H8" s="60"/>
      <c r="I8" s="61" t="str">
        <f>IF(L2=0,CONCATENATE("R",F7),"")</f>
        <v>R1</v>
      </c>
      <c r="J8" s="61"/>
      <c r="K8" s="61"/>
    </row>
    <row r="9" spans="2:11" ht="23.25">
      <c r="B9" s="60" t="str">
        <f>IF(L2=0,"Source 1","")</f>
        <v>Source 1</v>
      </c>
      <c r="C9" s="60"/>
      <c r="D9" s="60"/>
      <c r="E9" s="60"/>
      <c r="F9" s="60"/>
      <c r="G9" s="60"/>
      <c r="H9" s="60"/>
      <c r="I9" s="61" t="str">
        <f>IF(L2=0,CONCATENATE("R",I7),"")</f>
        <v>R0</v>
      </c>
      <c r="J9" s="61"/>
      <c r="K9" s="61"/>
    </row>
    <row r="10" spans="2:11" ht="23.25">
      <c r="B10" s="60" t="str">
        <f>IF(L2=0,"Source 2","")</f>
        <v>Source 2</v>
      </c>
      <c r="C10" s="60"/>
      <c r="D10" s="60"/>
      <c r="E10" s="60"/>
      <c r="F10" s="60"/>
      <c r="G10" s="60"/>
      <c r="H10" s="60"/>
      <c r="I10" s="61" t="str">
        <f>IF(L2=0,CONCATENATE("R",O7),"")</f>
        <v>R1</v>
      </c>
      <c r="J10" s="61"/>
      <c r="K10" s="61"/>
    </row>
  </sheetData>
  <sheetProtection sheet="1" objects="1" scenarios="1"/>
  <mergeCells count="14">
    <mergeCell ref="A4:C4"/>
    <mergeCell ref="D4:E4"/>
    <mergeCell ref="F4:I4"/>
    <mergeCell ref="B7:E7"/>
    <mergeCell ref="B6:Q6"/>
    <mergeCell ref="F7:H7"/>
    <mergeCell ref="I7:K7"/>
    <mergeCell ref="O7:Q7"/>
    <mergeCell ref="B10:H10"/>
    <mergeCell ref="I10:K10"/>
    <mergeCell ref="B8:H8"/>
    <mergeCell ref="I8:K8"/>
    <mergeCell ref="B9:H9"/>
    <mergeCell ref="I9:K9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9.140625" style="14" customWidth="1"/>
    <col min="21" max="21" width="15.7109375" style="14" customWidth="1"/>
    <col min="22" max="16384" width="9.140625" style="14" customWidth="1"/>
  </cols>
  <sheetData>
    <row r="1" spans="1:17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</row>
    <row r="2" spans="1:19" ht="27">
      <c r="A2" s="16" t="s">
        <v>4</v>
      </c>
      <c r="B2" s="35">
        <v>1</v>
      </c>
      <c r="C2" s="35">
        <v>1</v>
      </c>
      <c r="D2" s="35">
        <v>1</v>
      </c>
      <c r="E2" s="35">
        <v>1</v>
      </c>
      <c r="F2" s="50">
        <v>0</v>
      </c>
      <c r="G2" s="50">
        <v>0</v>
      </c>
      <c r="H2" s="50">
        <v>0</v>
      </c>
      <c r="I2" s="50">
        <v>0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F041</v>
      </c>
    </row>
    <row r="4" spans="1:9" ht="25.5">
      <c r="A4" s="74" t="s">
        <v>5</v>
      </c>
      <c r="B4" s="74"/>
      <c r="C4" s="74"/>
      <c r="D4" s="75">
        <f>8*B2+4*C2+2*D2+E2</f>
        <v>15</v>
      </c>
      <c r="E4" s="75"/>
      <c r="F4" s="76" t="str">
        <f>IF(D4=0,INDEX({"BRNOP","BRp","BRz","BRzp","BRn","BRnp","BRnz","BRnzp"},1,4*F2+2*G2+H2+1),IF(D4=4,IF(F2=0,"JMP","JSR"),IF(D4=12,IF(F2=0,"JMPR","JSRR"),INDEX({"!!","ADD","LD","ST","!!","AND","LDR","STR","RTI","NOT","LDI","STI","!!","RET","LEA","TRAP"},1,D4+1))))</f>
        <v>TRAP</v>
      </c>
      <c r="G4" s="76"/>
      <c r="H4" s="76"/>
      <c r="I4" s="76"/>
    </row>
    <row r="6" spans="2:17" ht="27">
      <c r="B6" s="87" t="str">
        <f>F4</f>
        <v>TRAP</v>
      </c>
      <c r="C6" s="87"/>
      <c r="D6" s="87"/>
      <c r="E6" s="87"/>
      <c r="F6" s="27">
        <f>F2</f>
        <v>0</v>
      </c>
      <c r="G6" s="27">
        <f>G2</f>
        <v>0</v>
      </c>
      <c r="H6" s="27">
        <f>H2</f>
        <v>0</v>
      </c>
      <c r="I6" s="27">
        <f>I2</f>
        <v>0</v>
      </c>
      <c r="J6" s="80">
        <f>128*J2+64*K2+32*L2+16*M2+8*N2+4*O2+2*P2+Q2</f>
        <v>65</v>
      </c>
      <c r="K6" s="80"/>
      <c r="L6" s="80"/>
      <c r="M6" s="80"/>
      <c r="N6" s="80"/>
      <c r="O6" s="80"/>
      <c r="P6" s="80"/>
      <c r="Q6" s="80"/>
    </row>
    <row r="8" spans="1:19" ht="27.75">
      <c r="A8" s="23" t="s">
        <v>23</v>
      </c>
      <c r="I8" s="24"/>
      <c r="J8" s="17">
        <f>J2</f>
        <v>0</v>
      </c>
      <c r="K8" s="17">
        <f aca="true" t="shared" si="0" ref="K8:Q8">K2</f>
        <v>1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1</v>
      </c>
      <c r="S8" s="18" t="str">
        <f>CONCATENATE("00",IF(J8*8+K8*4+L8*2+M8&lt;10,CHAR(J8*8+K8*4+L8*2+M8+48),CHAR(J8*8+K8*4+L8*2+M8+55)),IF(N8*8+O8*4+P8*2+Q8&lt;10,CHAR(N8*8+O8*4+P8*2+Q8+48),CHAR(N8*8+O8*4+P8*2+Q8+55)))</f>
        <v>0041</v>
      </c>
    </row>
    <row r="10" spans="1:21" ht="27">
      <c r="A10" s="19" t="s">
        <v>0</v>
      </c>
      <c r="B10" s="17">
        <f>'Registers -- Start'!B11</f>
        <v>0</v>
      </c>
      <c r="C10" s="17">
        <f>'Registers -- Start'!C11</f>
        <v>0</v>
      </c>
      <c r="D10" s="17">
        <f>'Registers -- Start'!D11</f>
        <v>1</v>
      </c>
      <c r="E10" s="17">
        <f>'Registers -- Start'!E11</f>
        <v>1</v>
      </c>
      <c r="F10" s="17">
        <f>'Registers -- Start'!F11</f>
        <v>0</v>
      </c>
      <c r="G10" s="17">
        <f>'Registers -- Start'!G11</f>
        <v>1</v>
      </c>
      <c r="H10" s="17">
        <f>'Registers -- Start'!H11</f>
        <v>0</v>
      </c>
      <c r="I10" s="17">
        <f>'Registers -- Start'!I11</f>
        <v>1</v>
      </c>
      <c r="J10" s="17">
        <f>'Registers -- Start'!J11</f>
        <v>0</v>
      </c>
      <c r="K10" s="17">
        <f>'Registers -- Start'!K11</f>
        <v>1</v>
      </c>
      <c r="L10" s="17">
        <f>'Registers -- Start'!L11</f>
        <v>1</v>
      </c>
      <c r="M10" s="17">
        <f>'Registers -- Start'!M11</f>
        <v>1</v>
      </c>
      <c r="N10" s="17">
        <f>'Registers -- Start'!N11</f>
        <v>1</v>
      </c>
      <c r="O10" s="17">
        <f>'Registers -- Start'!O11</f>
        <v>0</v>
      </c>
      <c r="P10" s="17">
        <f>'Registers -- Start'!P11</f>
        <v>0</v>
      </c>
      <c r="Q10" s="17">
        <f>'Registers -- Start'!Q11</f>
        <v>1</v>
      </c>
      <c r="S10" s="18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3579</v>
      </c>
      <c r="U10" s="2">
        <f>B10*32768+C10*16384+D10*8192+E10*4096+F10*2048+G10*1024+H10*512+I10*256+J10*128+K10*64+L10*32+M10*16+N10*8+O10*4+P10*2+Q10</f>
        <v>13689</v>
      </c>
    </row>
    <row r="11" spans="1:21" ht="27">
      <c r="A11" s="39" t="s">
        <v>37</v>
      </c>
      <c r="B11" s="17">
        <f>MOD(TRUNC((1048576+$U11)/32768),2)</f>
        <v>0</v>
      </c>
      <c r="C11" s="17">
        <f>MOD(TRUNC((1048576+$U11)/16384),2)</f>
        <v>0</v>
      </c>
      <c r="D11" s="17">
        <f>MOD(TRUNC((1048576+$U11)/8192),2)</f>
        <v>1</v>
      </c>
      <c r="E11" s="17">
        <f>MOD(TRUNC((1048576+$U11)/4096),2)</f>
        <v>1</v>
      </c>
      <c r="F11" s="17">
        <f>MOD(TRUNC((1048576+$U11)/2048),2)</f>
        <v>0</v>
      </c>
      <c r="G11" s="17">
        <f>MOD(TRUNC((1048576+$U11)/1024),2)</f>
        <v>1</v>
      </c>
      <c r="H11" s="17">
        <f>MOD(TRUNC((1048576+$U11)/512),2)</f>
        <v>0</v>
      </c>
      <c r="I11" s="17">
        <f>MOD(TRUNC((1048576+$U11)/256),2)</f>
        <v>1</v>
      </c>
      <c r="J11" s="17">
        <f>MOD(TRUNC((1048576+$U11)/128),2)</f>
        <v>0</v>
      </c>
      <c r="K11" s="17">
        <f>MOD(TRUNC((1048576+$U11)/64),2)</f>
        <v>1</v>
      </c>
      <c r="L11" s="17">
        <f>MOD(TRUNC((1048576+$U11)/32),2)</f>
        <v>1</v>
      </c>
      <c r="M11" s="17">
        <f>MOD(TRUNC((1048576+$U11)/16),2)</f>
        <v>1</v>
      </c>
      <c r="N11" s="17">
        <f>MOD(TRUNC((1048576+$U11)/8),2)</f>
        <v>1</v>
      </c>
      <c r="O11" s="17">
        <f>MOD(TRUNC((1048576+$U11)/4),2)</f>
        <v>0</v>
      </c>
      <c r="P11" s="17">
        <f>MOD(TRUNC((1048576+$U11)/2),2)</f>
        <v>1</v>
      </c>
      <c r="Q11" s="17">
        <f>MOD(1048576+U11,2)</f>
        <v>0</v>
      </c>
      <c r="R11" s="22"/>
      <c r="S11" s="18" t="str">
        <f>CONCATENATE(IF(B11*8+C11*4+D11*2+E11&lt;10,CHAR(B11*8+C11*4+D11*2+E11+48),CHAR(B11*8+C11*4+D11*2+E11+55)),IF(F11*8+G11*4+H11*2+I11&lt;10,CHAR(F11*8+G11*4+H11*2+I11+48),CHAR(F11*8+G11*4+H11*2+I11+55)),IF(J11*8+K11*4+L11*2+M11&lt;10,CHAR(J11*8+K11*4+L11*2+M11+48),CHAR(J11*8+K11*4+L11*2+M11+55)),IF(N11*8+O11*4+P11*2+Q11&lt;10,CHAR(N11*8+O11*4+P11*2+Q11+48),CHAR(N11*8+O11*4+P11*2+Q11+55)))</f>
        <v>357A</v>
      </c>
      <c r="U11" s="17">
        <f>IF(U10=65535,0,U10+1)</f>
        <v>13690</v>
      </c>
    </row>
    <row r="13" spans="1:21" ht="27">
      <c r="A13" s="16" t="s">
        <v>35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f>J8</f>
        <v>0</v>
      </c>
      <c r="K13" s="17">
        <f aca="true" t="shared" si="1" ref="K13:Q13">K8</f>
        <v>1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1</v>
      </c>
      <c r="R13" s="21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0041</v>
      </c>
      <c r="U13" s="17">
        <f>J6</f>
        <v>65</v>
      </c>
    </row>
    <row r="14" spans="1:21" ht="27">
      <c r="A14" s="16" t="s">
        <v>36</v>
      </c>
      <c r="B14" s="17">
        <f>B11</f>
        <v>0</v>
      </c>
      <c r="C14" s="17">
        <f aca="true" t="shared" si="2" ref="C14:Q14">C11</f>
        <v>0</v>
      </c>
      <c r="D14" s="17">
        <f t="shared" si="2"/>
        <v>1</v>
      </c>
      <c r="E14" s="17">
        <f t="shared" si="2"/>
        <v>1</v>
      </c>
      <c r="F14" s="17">
        <f t="shared" si="2"/>
        <v>0</v>
      </c>
      <c r="G14" s="17">
        <f t="shared" si="2"/>
        <v>1</v>
      </c>
      <c r="H14" s="17">
        <f t="shared" si="2"/>
        <v>0</v>
      </c>
      <c r="I14" s="17">
        <f t="shared" si="2"/>
        <v>1</v>
      </c>
      <c r="J14" s="17">
        <f t="shared" si="2"/>
        <v>0</v>
      </c>
      <c r="K14" s="17">
        <f t="shared" si="2"/>
        <v>1</v>
      </c>
      <c r="L14" s="17">
        <f t="shared" si="2"/>
        <v>1</v>
      </c>
      <c r="M14" s="17">
        <f t="shared" si="2"/>
        <v>1</v>
      </c>
      <c r="N14" s="17">
        <f t="shared" si="2"/>
        <v>1</v>
      </c>
      <c r="O14" s="17">
        <f t="shared" si="2"/>
        <v>0</v>
      </c>
      <c r="P14" s="17">
        <f t="shared" si="2"/>
        <v>1</v>
      </c>
      <c r="Q14" s="17">
        <f t="shared" si="2"/>
        <v>0</v>
      </c>
      <c r="R14" s="21"/>
      <c r="S14" s="18" t="str">
        <f>CONCATENATE(IF(B14*8+C14*4+D14*2+E14&lt;10,CHAR(B14*8+C14*4+D14*2+E14+48),CHAR(B14*8+C14*4+D14*2+E14+55)),IF(F14*8+G14*4+H14*2+I14&lt;10,CHAR(F14*8+G14*4+H14*2+I14+48),CHAR(F14*8+G14*4+H14*2+I14+55)),IF(J14*8+K14*4+L14*2+M14&lt;10,CHAR(J14*8+K14*4+L14*2+M14+48),CHAR(J14*8+K14*4+L14*2+M14+55)),IF(N14*8+O14*4+P14*2+Q14&lt;10,CHAR(N14*8+O14*4+P14*2+Q14+48),CHAR(N14*8+O14*4+P14*2+Q14+55)))</f>
        <v>357A</v>
      </c>
      <c r="U14" s="17">
        <f>U11+U12</f>
        <v>13690</v>
      </c>
    </row>
  </sheetData>
  <sheetProtection sheet="1" objects="1" scenarios="1"/>
  <mergeCells count="5">
    <mergeCell ref="J6:Q6"/>
    <mergeCell ref="A4:C4"/>
    <mergeCell ref="D4:E4"/>
    <mergeCell ref="F4:I4"/>
    <mergeCell ref="B6:E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</cols>
  <sheetData>
    <row r="1" spans="1:17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</row>
    <row r="2" spans="1:19" ht="27">
      <c r="A2" s="1" t="s">
        <v>4</v>
      </c>
      <c r="B2" s="29">
        <v>0</v>
      </c>
      <c r="C2" s="29">
        <v>0</v>
      </c>
      <c r="D2" s="29">
        <v>0</v>
      </c>
      <c r="E2" s="29">
        <v>1</v>
      </c>
      <c r="F2" s="11">
        <v>0</v>
      </c>
      <c r="G2" s="11">
        <v>0</v>
      </c>
      <c r="H2" s="11">
        <v>1</v>
      </c>
      <c r="I2" s="11">
        <v>0</v>
      </c>
      <c r="J2" s="11">
        <v>1</v>
      </c>
      <c r="K2" s="11">
        <v>1</v>
      </c>
      <c r="L2" s="44">
        <v>1</v>
      </c>
      <c r="M2" s="11">
        <v>0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12E1</v>
      </c>
    </row>
    <row r="4" spans="1:9" ht="25.5">
      <c r="A4" s="62" t="s">
        <v>5</v>
      </c>
      <c r="B4" s="62"/>
      <c r="C4" s="62"/>
      <c r="D4" s="63">
        <f>8*B2+4*C2+2*D2+E2</f>
        <v>1</v>
      </c>
      <c r="E4" s="63"/>
      <c r="F4" s="64" t="str">
        <f>INDEX({"BR","ADD","LD","ST","JSR","AND","LDR","STR","RTI","NOT","LDI","STI","JSRR","RET","LEA","TRAP"},1,D4+1)</f>
        <v>ADD</v>
      </c>
      <c r="G4" s="64"/>
      <c r="H4" s="64"/>
      <c r="I4" s="64"/>
    </row>
    <row r="6" spans="1:17" ht="18">
      <c r="A6" s="3"/>
      <c r="B6" s="66" t="s">
        <v>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ht="27">
      <c r="B7" s="68" t="str">
        <f>IF(L2=1,"ADD","")</f>
        <v>ADD</v>
      </c>
      <c r="C7" s="69"/>
      <c r="D7" s="69"/>
      <c r="E7" s="70"/>
      <c r="F7" s="67">
        <f>IF(L2=1,4*F2+2*G2+H2,"")</f>
        <v>1</v>
      </c>
      <c r="G7" s="67"/>
      <c r="H7" s="67"/>
      <c r="I7" s="67">
        <f>IF(L2=1,4*I2+2*J2+K2,"")</f>
        <v>3</v>
      </c>
      <c r="J7" s="67"/>
      <c r="K7" s="67"/>
      <c r="L7" s="34">
        <f>IF(L2=1,1,"")</f>
        <v>1</v>
      </c>
      <c r="M7" s="71">
        <f>IF(L2=1,M2*(-16)+N2*8+O2*4+P2*2+Q2,"")</f>
        <v>1</v>
      </c>
      <c r="N7" s="72"/>
      <c r="O7" s="72"/>
      <c r="P7" s="72"/>
      <c r="Q7" s="73"/>
    </row>
    <row r="8" spans="2:11" ht="23.25">
      <c r="B8" s="60" t="str">
        <f>IF(L2=1,"Destination","")</f>
        <v>Destination</v>
      </c>
      <c r="C8" s="60"/>
      <c r="D8" s="60"/>
      <c r="E8" s="60"/>
      <c r="F8" s="60"/>
      <c r="G8" s="60"/>
      <c r="H8" s="60"/>
      <c r="I8" s="61" t="str">
        <f>IF(L2=1,CONCATENATE("R",F7),"")</f>
        <v>R1</v>
      </c>
      <c r="J8" s="61"/>
      <c r="K8" s="61"/>
    </row>
    <row r="9" spans="2:11" ht="23.25">
      <c r="B9" s="60" t="str">
        <f>IF(L2=1,"Source 1","")</f>
        <v>Source 1</v>
      </c>
      <c r="C9" s="60"/>
      <c r="D9" s="60"/>
      <c r="E9" s="60"/>
      <c r="F9" s="60"/>
      <c r="G9" s="60"/>
      <c r="H9" s="60"/>
      <c r="I9" s="61" t="str">
        <f>IF(L2=1,CONCATENATE("R",I7),"")</f>
        <v>R3</v>
      </c>
      <c r="J9" s="61"/>
      <c r="K9" s="61"/>
    </row>
    <row r="10" spans="2:11" ht="23.25">
      <c r="B10" s="60" t="str">
        <f>IF(L2=1,"Source 2","")</f>
        <v>Source 2</v>
      </c>
      <c r="C10" s="60"/>
      <c r="D10" s="60"/>
      <c r="E10" s="60"/>
      <c r="F10" s="60"/>
      <c r="G10" s="60"/>
      <c r="H10" s="60"/>
      <c r="I10" s="61">
        <f>IF(L2=1,M7,"")</f>
        <v>1</v>
      </c>
      <c r="J10" s="61"/>
      <c r="K10" s="61"/>
    </row>
  </sheetData>
  <sheetProtection sheet="1" objects="1" scenarios="1"/>
  <mergeCells count="14">
    <mergeCell ref="B10:H10"/>
    <mergeCell ref="I10:K10"/>
    <mergeCell ref="B8:H8"/>
    <mergeCell ref="I8:K8"/>
    <mergeCell ref="B9:H9"/>
    <mergeCell ref="B6:Q6"/>
    <mergeCell ref="F7:H7"/>
    <mergeCell ref="I7:K7"/>
    <mergeCell ref="M7:Q7"/>
    <mergeCell ref="I9:K9"/>
    <mergeCell ref="A4:C4"/>
    <mergeCell ref="D4:E4"/>
    <mergeCell ref="F4:I4"/>
    <mergeCell ref="B7:E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</cols>
  <sheetData>
    <row r="1" spans="1:17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</row>
    <row r="2" spans="1:19" ht="27">
      <c r="A2" s="1" t="s">
        <v>4</v>
      </c>
      <c r="B2" s="30">
        <v>0</v>
      </c>
      <c r="C2" s="31">
        <v>1</v>
      </c>
      <c r="D2" s="31">
        <v>0</v>
      </c>
      <c r="E2" s="31">
        <v>1</v>
      </c>
      <c r="F2" s="32">
        <v>1</v>
      </c>
      <c r="G2" s="32">
        <v>1</v>
      </c>
      <c r="H2" s="32">
        <v>1</v>
      </c>
      <c r="I2" s="32">
        <v>0</v>
      </c>
      <c r="J2" s="32">
        <v>0</v>
      </c>
      <c r="K2" s="32">
        <v>0</v>
      </c>
      <c r="L2" s="51">
        <v>0</v>
      </c>
      <c r="M2" s="51">
        <v>0</v>
      </c>
      <c r="N2" s="51">
        <v>0</v>
      </c>
      <c r="O2" s="32">
        <v>0</v>
      </c>
      <c r="P2" s="32">
        <v>0</v>
      </c>
      <c r="Q2" s="33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5E01</v>
      </c>
    </row>
    <row r="4" spans="1:9" ht="25.5">
      <c r="A4" s="62" t="s">
        <v>5</v>
      </c>
      <c r="B4" s="62"/>
      <c r="C4" s="62"/>
      <c r="D4" s="63">
        <f>8*B2+4*C2+2*D2+E2</f>
        <v>5</v>
      </c>
      <c r="E4" s="63"/>
      <c r="F4" s="64" t="s">
        <v>28</v>
      </c>
      <c r="G4" s="64"/>
      <c r="H4" s="64"/>
      <c r="I4" s="64"/>
    </row>
    <row r="6" spans="1:17" ht="18">
      <c r="A6" s="3"/>
      <c r="B6" s="66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ht="27">
      <c r="B7" s="65" t="s">
        <v>28</v>
      </c>
      <c r="C7" s="65"/>
      <c r="D7" s="65"/>
      <c r="E7" s="65"/>
      <c r="F7" s="67">
        <f>IF(L2=0,4*F2+2*G2+H2,"")</f>
        <v>7</v>
      </c>
      <c r="G7" s="67"/>
      <c r="H7" s="67"/>
      <c r="I7" s="67">
        <f>IF(L2=0,4*I2+2*J2+K2,"")</f>
        <v>0</v>
      </c>
      <c r="J7" s="67"/>
      <c r="K7" s="67"/>
      <c r="L7" s="34">
        <f>IF(L2=0,0,"")</f>
        <v>0</v>
      </c>
      <c r="M7" s="34">
        <f>IF(L2=0,0,"")</f>
        <v>0</v>
      </c>
      <c r="N7" s="34">
        <f>IF(L2=0,0,"")</f>
        <v>0</v>
      </c>
      <c r="O7" s="67">
        <f>IF(L2=0,4*O2+2*P2+Q2,"")</f>
        <v>1</v>
      </c>
      <c r="P7" s="67"/>
      <c r="Q7" s="67"/>
    </row>
    <row r="8" spans="2:11" ht="23.25">
      <c r="B8" s="60" t="str">
        <f>IF(L2=0,"Destination","")</f>
        <v>Destination</v>
      </c>
      <c r="C8" s="60"/>
      <c r="D8" s="60"/>
      <c r="E8" s="60"/>
      <c r="F8" s="60"/>
      <c r="G8" s="60"/>
      <c r="H8" s="60"/>
      <c r="I8" s="61" t="str">
        <f>IF(L2=0,CONCATENATE("R",F7),"")</f>
        <v>R7</v>
      </c>
      <c r="J8" s="61"/>
      <c r="K8" s="61"/>
    </row>
    <row r="9" spans="2:11" ht="23.25">
      <c r="B9" s="60" t="str">
        <f>IF(L2=0,"Source 1","")</f>
        <v>Source 1</v>
      </c>
      <c r="C9" s="60"/>
      <c r="D9" s="60"/>
      <c r="E9" s="60"/>
      <c r="F9" s="60"/>
      <c r="G9" s="60"/>
      <c r="H9" s="60"/>
      <c r="I9" s="61" t="str">
        <f>IF(L2=0,CONCATENATE("R",I7),"")</f>
        <v>R0</v>
      </c>
      <c r="J9" s="61"/>
      <c r="K9" s="61"/>
    </row>
    <row r="10" spans="2:11" ht="23.25">
      <c r="B10" s="60" t="str">
        <f>IF(L2=0,"Source 2","")</f>
        <v>Source 2</v>
      </c>
      <c r="C10" s="60"/>
      <c r="D10" s="60"/>
      <c r="E10" s="60"/>
      <c r="F10" s="60"/>
      <c r="G10" s="60"/>
      <c r="H10" s="60"/>
      <c r="I10" s="61" t="str">
        <f>IF(L2=0,CONCATENATE("R",O7),"")</f>
        <v>R1</v>
      </c>
      <c r="J10" s="61"/>
      <c r="K10" s="61"/>
    </row>
  </sheetData>
  <sheetProtection sheet="1" objects="1" scenarios="1"/>
  <mergeCells count="14">
    <mergeCell ref="B10:H10"/>
    <mergeCell ref="I10:K10"/>
    <mergeCell ref="B8:H8"/>
    <mergeCell ref="I8:K8"/>
    <mergeCell ref="B9:H9"/>
    <mergeCell ref="I9:K9"/>
    <mergeCell ref="A4:C4"/>
    <mergeCell ref="D4:E4"/>
    <mergeCell ref="F4:I4"/>
    <mergeCell ref="B7:E7"/>
    <mergeCell ref="B6:Q6"/>
    <mergeCell ref="F7:H7"/>
    <mergeCell ref="I7:K7"/>
    <mergeCell ref="O7:Q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17" width="3.7109375" style="0" customWidth="1"/>
    <col min="18" max="18" width="5.7109375" style="0" customWidth="1"/>
    <col min="19" max="19" width="12.7109375" style="5" customWidth="1"/>
  </cols>
  <sheetData>
    <row r="1" spans="1:17" ht="12.75">
      <c r="A1" s="4"/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  <c r="Q1">
        <v>0</v>
      </c>
    </row>
    <row r="2" spans="1:19" ht="27">
      <c r="A2" s="1" t="s">
        <v>4</v>
      </c>
      <c r="B2" s="29">
        <v>0</v>
      </c>
      <c r="C2" s="29">
        <v>1</v>
      </c>
      <c r="D2" s="29">
        <v>0</v>
      </c>
      <c r="E2" s="29">
        <v>1</v>
      </c>
      <c r="F2" s="11">
        <v>1</v>
      </c>
      <c r="G2" s="11">
        <v>0</v>
      </c>
      <c r="H2" s="11">
        <v>1</v>
      </c>
      <c r="I2" s="11">
        <v>1</v>
      </c>
      <c r="J2" s="11">
        <v>1</v>
      </c>
      <c r="K2" s="11">
        <v>1</v>
      </c>
      <c r="L2" s="44">
        <v>1</v>
      </c>
      <c r="M2" s="11">
        <v>1</v>
      </c>
      <c r="N2" s="11">
        <v>0</v>
      </c>
      <c r="O2" s="11">
        <v>0</v>
      </c>
      <c r="P2" s="11">
        <v>0</v>
      </c>
      <c r="Q2" s="11">
        <v>1</v>
      </c>
      <c r="S2" s="6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5BF1</v>
      </c>
    </row>
    <row r="4" spans="1:9" ht="25.5">
      <c r="A4" s="62" t="s">
        <v>5</v>
      </c>
      <c r="B4" s="62"/>
      <c r="C4" s="62"/>
      <c r="D4" s="63">
        <f>8*B2+4*C2+2*D2+E2</f>
        <v>5</v>
      </c>
      <c r="E4" s="63"/>
      <c r="F4" s="64" t="s">
        <v>28</v>
      </c>
      <c r="G4" s="64"/>
      <c r="H4" s="64"/>
      <c r="I4" s="64"/>
    </row>
    <row r="6" spans="1:17" ht="18">
      <c r="A6" s="3"/>
      <c r="B6" s="66" t="s">
        <v>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ht="27">
      <c r="B7" s="68" t="s">
        <v>28</v>
      </c>
      <c r="C7" s="69"/>
      <c r="D7" s="69"/>
      <c r="E7" s="70"/>
      <c r="F7" s="67">
        <f>IF(L2=1,4*F2+2*G2+H2,"")</f>
        <v>5</v>
      </c>
      <c r="G7" s="67"/>
      <c r="H7" s="67"/>
      <c r="I7" s="67">
        <f>IF(L2=1,4*I2+2*J2+K2,"")</f>
        <v>7</v>
      </c>
      <c r="J7" s="67"/>
      <c r="K7" s="67"/>
      <c r="L7" s="34">
        <f>IF(L2=1,1,"")</f>
        <v>1</v>
      </c>
      <c r="M7" s="71">
        <f>IF(L2=1,M2*(-16)+N2*8+O2*4+P2*2+Q2,"")</f>
        <v>-15</v>
      </c>
      <c r="N7" s="72"/>
      <c r="O7" s="72"/>
      <c r="P7" s="72"/>
      <c r="Q7" s="73"/>
    </row>
    <row r="8" spans="2:11" ht="23.25">
      <c r="B8" s="60" t="str">
        <f>IF(L2=1,"Destination","")</f>
        <v>Destination</v>
      </c>
      <c r="C8" s="60"/>
      <c r="D8" s="60"/>
      <c r="E8" s="60"/>
      <c r="F8" s="60"/>
      <c r="G8" s="60"/>
      <c r="H8" s="60"/>
      <c r="I8" s="61" t="str">
        <f>IF(L2=1,CONCATENATE("R",F7),"")</f>
        <v>R5</v>
      </c>
      <c r="J8" s="61"/>
      <c r="K8" s="61"/>
    </row>
    <row r="9" spans="2:11" ht="23.25">
      <c r="B9" s="60" t="str">
        <f>IF(L2=1,"Source 1","")</f>
        <v>Source 1</v>
      </c>
      <c r="C9" s="60"/>
      <c r="D9" s="60"/>
      <c r="E9" s="60"/>
      <c r="F9" s="60"/>
      <c r="G9" s="60"/>
      <c r="H9" s="60"/>
      <c r="I9" s="61" t="str">
        <f>IF(L2=1,CONCATENATE("R",I7),"")</f>
        <v>R7</v>
      </c>
      <c r="J9" s="61"/>
      <c r="K9" s="61"/>
    </row>
    <row r="10" spans="2:11" ht="23.25">
      <c r="B10" s="60" t="str">
        <f>IF(L2=1,"Source 2","")</f>
        <v>Source 2</v>
      </c>
      <c r="C10" s="60"/>
      <c r="D10" s="60"/>
      <c r="E10" s="60"/>
      <c r="F10" s="60"/>
      <c r="G10" s="60"/>
      <c r="H10" s="60"/>
      <c r="I10" s="61">
        <f>IF(L2=1,M7,"")</f>
        <v>-15</v>
      </c>
      <c r="J10" s="61"/>
      <c r="K10" s="61"/>
    </row>
  </sheetData>
  <sheetProtection sheet="1" objects="1" scenarios="1"/>
  <mergeCells count="14">
    <mergeCell ref="A4:C4"/>
    <mergeCell ref="D4:E4"/>
    <mergeCell ref="F4:I4"/>
    <mergeCell ref="B7:E7"/>
    <mergeCell ref="B6:Q6"/>
    <mergeCell ref="F7:H7"/>
    <mergeCell ref="I7:K7"/>
    <mergeCell ref="M7:Q7"/>
    <mergeCell ref="B10:H10"/>
    <mergeCell ref="I10:K10"/>
    <mergeCell ref="B8:H8"/>
    <mergeCell ref="I8:K8"/>
    <mergeCell ref="B9:H9"/>
    <mergeCell ref="I9:K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2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36" t="s">
        <v>25</v>
      </c>
      <c r="U1" s="36" t="s">
        <v>26</v>
      </c>
    </row>
    <row r="2" spans="1:21" ht="27">
      <c r="A2" s="16" t="s">
        <v>4</v>
      </c>
      <c r="B2" s="35">
        <v>0</v>
      </c>
      <c r="C2" s="35">
        <v>0</v>
      </c>
      <c r="D2" s="35">
        <v>0</v>
      </c>
      <c r="E2" s="35">
        <v>0</v>
      </c>
      <c r="F2" s="12">
        <v>0</v>
      </c>
      <c r="G2" s="12">
        <v>1</v>
      </c>
      <c r="H2" s="12">
        <v>0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1</v>
      </c>
      <c r="P2" s="11">
        <v>0</v>
      </c>
      <c r="Q2" s="11">
        <v>1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0545</v>
      </c>
      <c r="U2" s="24"/>
    </row>
    <row r="4" spans="1:9" ht="25.5">
      <c r="A4" s="74" t="s">
        <v>5</v>
      </c>
      <c r="B4" s="74"/>
      <c r="C4" s="74"/>
      <c r="D4" s="75">
        <f>8*B2+4*C2+2*D2+E2</f>
        <v>0</v>
      </c>
      <c r="E4" s="75"/>
      <c r="F4" s="76" t="str">
        <f>IF(D4=0,INDEX({"BRNOP","BRp","BRz","BRzp","BRn","BRnp","BRnz","BRnzp"},1,4*F2+2*G2+H2+1),IF(D4=4,IF(F2=0,"JMP","JSR"),IF(D4=12,IF(F2=0,"JMPR","JSRR"),INDEX({"!!","ADD","LD","ST","!!","AND","LDR","STR","RTI","NOT","LDI","STI","!!","RET","LEA","TRAP"},1,D4+1))))</f>
        <v>BRz</v>
      </c>
      <c r="G4" s="76"/>
      <c r="H4" s="76"/>
      <c r="I4" s="76"/>
    </row>
    <row r="6" spans="2:17" ht="27">
      <c r="B6" s="79" t="str">
        <f>F4</f>
        <v>BRz</v>
      </c>
      <c r="C6" s="79"/>
      <c r="D6" s="79"/>
      <c r="E6" s="79"/>
      <c r="F6" s="79"/>
      <c r="G6" s="79"/>
      <c r="H6" s="79"/>
      <c r="I6" s="80">
        <f>I2*(-256)+J2*128+K2*64+L2*32+M2*16+N2*8+O2*4+P2*2+Q2</f>
        <v>-187</v>
      </c>
      <c r="J6" s="80"/>
      <c r="K6" s="80"/>
      <c r="L6" s="80"/>
      <c r="M6" s="80"/>
      <c r="N6" s="80"/>
      <c r="O6" s="80"/>
      <c r="P6" s="80"/>
      <c r="Q6" s="80"/>
    </row>
    <row r="8" spans="1:21" ht="27">
      <c r="A8" s="16" t="s">
        <v>0</v>
      </c>
      <c r="B8" s="17">
        <f>'Registers -- Start'!B11</f>
        <v>0</v>
      </c>
      <c r="C8" s="17">
        <f>'Registers -- Start'!C11</f>
        <v>0</v>
      </c>
      <c r="D8" s="17">
        <f>'Registers -- Start'!D11</f>
        <v>1</v>
      </c>
      <c r="E8" s="17">
        <f>'Registers -- Start'!E11</f>
        <v>1</v>
      </c>
      <c r="F8" s="17">
        <f>'Registers -- Start'!F11</f>
        <v>0</v>
      </c>
      <c r="G8" s="17">
        <f>'Registers -- Start'!G11</f>
        <v>1</v>
      </c>
      <c r="H8" s="17">
        <f>'Registers -- Start'!H11</f>
        <v>0</v>
      </c>
      <c r="I8" s="17">
        <f>'Registers -- Start'!I11</f>
        <v>1</v>
      </c>
      <c r="J8" s="17">
        <f>'Registers -- Start'!J11</f>
        <v>0</v>
      </c>
      <c r="K8" s="17">
        <f>'Registers -- Start'!K11</f>
        <v>1</v>
      </c>
      <c r="L8" s="17">
        <f>'Registers -- Start'!L11</f>
        <v>1</v>
      </c>
      <c r="M8" s="17">
        <f>'Registers -- Start'!M11</f>
        <v>1</v>
      </c>
      <c r="N8" s="17">
        <f>'Registers -- Start'!N11</f>
        <v>1</v>
      </c>
      <c r="O8" s="17">
        <f>'Registers -- Start'!O11</f>
        <v>0</v>
      </c>
      <c r="P8" s="17">
        <f>'Registers -- Start'!P11</f>
        <v>0</v>
      </c>
      <c r="Q8" s="17">
        <f>'Registers -- Start'!Q11</f>
        <v>1</v>
      </c>
      <c r="R8" s="22"/>
      <c r="S8" s="18" t="str">
        <f>CONCATENATE(IF(B8*8+C8*4+D8*2+E8&lt;10,CHAR(B8*8+C8*4+D8*2+E8+48),CHAR(B8*8+C8*4+D8*2+E8+55)),IF(F8*8+G8*4+H8*2+I8&lt;10,CHAR(F8*8+G8*4+H8*2+I8+48),CHAR(F8*8+G8*4+H8*2+I8+55)),IF(J8*8+K8*4+L8*2+M8&lt;10,CHAR(J8*8+K8*4+L8*2+M8+48),CHAR(J8*8+K8*4+L8*2+M8+55)),IF(N8*8+O8*4+P8*2+Q8&lt;10,CHAR(N8*8+O8*4+P8*2+Q8+48),CHAR(N8*8+O8*4+P8*2+Q8+55)))</f>
        <v>3579</v>
      </c>
      <c r="U8" s="17">
        <f>B8*32768+C8*16384+D8*8192+E8*4096+F8*2048+G8*1024+H8*512+I8*256+J8*128+K8*64+L8*32+M8*16+N8*8+O8*4+P8*2+Q8</f>
        <v>13689</v>
      </c>
    </row>
    <row r="9" spans="1:21" ht="27">
      <c r="A9" s="39" t="s">
        <v>37</v>
      </c>
      <c r="B9" s="17">
        <f>MOD(TRUNC((1048576+$U9)/32768),2)</f>
        <v>0</v>
      </c>
      <c r="C9" s="17">
        <f>MOD(TRUNC((1048576+$U9)/16384),2)</f>
        <v>0</v>
      </c>
      <c r="D9" s="17">
        <f>MOD(TRUNC((1048576+$U9)/8192),2)</f>
        <v>1</v>
      </c>
      <c r="E9" s="17">
        <f>MOD(TRUNC((1048576+$U9)/4096),2)</f>
        <v>1</v>
      </c>
      <c r="F9" s="17">
        <f>MOD(TRUNC((1048576+$U9)/2048),2)</f>
        <v>0</v>
      </c>
      <c r="G9" s="17">
        <f>MOD(TRUNC((1048576+$U9)/1024),2)</f>
        <v>1</v>
      </c>
      <c r="H9" s="17">
        <f>MOD(TRUNC((1048576+$U9)/512),2)</f>
        <v>0</v>
      </c>
      <c r="I9" s="17">
        <f>MOD(TRUNC((1048576+$U9)/256),2)</f>
        <v>1</v>
      </c>
      <c r="J9" s="17">
        <f>MOD(TRUNC((1048576+$U9)/128),2)</f>
        <v>0</v>
      </c>
      <c r="K9" s="17">
        <f>MOD(TRUNC((1048576+$U9)/64),2)</f>
        <v>1</v>
      </c>
      <c r="L9" s="17">
        <f>MOD(TRUNC((1048576+$U9)/32),2)</f>
        <v>1</v>
      </c>
      <c r="M9" s="17">
        <f>MOD(TRUNC((1048576+$U9)/16),2)</f>
        <v>1</v>
      </c>
      <c r="N9" s="17">
        <f>MOD(TRUNC((1048576+$U9)/8),2)</f>
        <v>1</v>
      </c>
      <c r="O9" s="17">
        <f>MOD(TRUNC((1048576+$U9)/4),2)</f>
        <v>0</v>
      </c>
      <c r="P9" s="17">
        <f>MOD(TRUNC((1048576+$U9)/2),2)</f>
        <v>1</v>
      </c>
      <c r="Q9" s="17">
        <f>MOD(1048576+U9,2)</f>
        <v>0</v>
      </c>
      <c r="R9" s="22"/>
      <c r="S9" s="18" t="str">
        <f>CONCATENATE(IF(B9*8+C9*4+D9*2+E9&lt;10,CHAR(B9*8+C9*4+D9*2+E9+48),CHAR(B9*8+C9*4+D9*2+E9+55)),IF(F9*8+G9*4+H9*2+I9&lt;10,CHAR(F9*8+G9*4+H9*2+I9+48),CHAR(F9*8+G9*4+H9*2+I9+55)),IF(J9*8+K9*4+L9*2+M9&lt;10,CHAR(J9*8+K9*4+L9*2+M9+48),CHAR(J9*8+K9*4+L9*2+M9+55)),IF(N9*8+O9*4+P9*2+Q9&lt;10,CHAR(N9*8+O9*4+P9*2+Q9+48),CHAR(N9*8+O9*4+P9*2+Q9+55)))</f>
        <v>357A</v>
      </c>
      <c r="U9" s="17">
        <f>IF(U8=65535,0,U8+1)</f>
        <v>13690</v>
      </c>
    </row>
    <row r="10" spans="1:21" ht="27">
      <c r="A10" s="37" t="s">
        <v>24</v>
      </c>
      <c r="B10" s="38">
        <f aca="true" t="shared" si="0" ref="B10:G10">C10</f>
        <v>1</v>
      </c>
      <c r="C10" s="38">
        <f t="shared" si="0"/>
        <v>1</v>
      </c>
      <c r="D10" s="38">
        <f t="shared" si="0"/>
        <v>1</v>
      </c>
      <c r="E10" s="38">
        <f t="shared" si="0"/>
        <v>1</v>
      </c>
      <c r="F10" s="38">
        <f t="shared" si="0"/>
        <v>1</v>
      </c>
      <c r="G10" s="38">
        <f t="shared" si="0"/>
        <v>1</v>
      </c>
      <c r="H10" s="38">
        <f>I10</f>
        <v>1</v>
      </c>
      <c r="I10" s="17">
        <f>I2</f>
        <v>1</v>
      </c>
      <c r="J10" s="17">
        <f aca="true" t="shared" si="1" ref="J10:Q10">J2</f>
        <v>0</v>
      </c>
      <c r="K10" s="17">
        <f t="shared" si="1"/>
        <v>1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1</v>
      </c>
      <c r="P10" s="17">
        <f t="shared" si="1"/>
        <v>0</v>
      </c>
      <c r="Q10" s="17">
        <f t="shared" si="1"/>
        <v>1</v>
      </c>
      <c r="S10" s="18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FF45</v>
      </c>
      <c r="U10" s="17">
        <f>B10*(-32768)+C10*16384+D10*8192+E10*4096+F10*2048+G10*1024+H10*512+I10*256+J10*128+K10*64+L10*32+M10*16+N10*8+O10*4+P10*2+Q10</f>
        <v>-187</v>
      </c>
    </row>
    <row r="12" spans="1:21" ht="27">
      <c r="A12" s="16" t="s">
        <v>35</v>
      </c>
      <c r="B12" s="17">
        <f>MOD(TRUNC((1048576+$U12)/32768),2)</f>
        <v>0</v>
      </c>
      <c r="C12" s="17">
        <f>MOD(TRUNC((1048576+$U12)/16384),2)</f>
        <v>0</v>
      </c>
      <c r="D12" s="17">
        <f>MOD(TRUNC((1048576+$U12)/8192),2)</f>
        <v>1</v>
      </c>
      <c r="E12" s="17">
        <f>MOD(TRUNC((1048576+$U12)/4096),2)</f>
        <v>1</v>
      </c>
      <c r="F12" s="17">
        <f>MOD(TRUNC((1048576+$U12)/2048),2)</f>
        <v>0</v>
      </c>
      <c r="G12" s="17">
        <f>MOD(TRUNC((1048576+$U12)/1024),2)</f>
        <v>1</v>
      </c>
      <c r="H12" s="17">
        <f>MOD(TRUNC((1048576+$U12)/512),2)</f>
        <v>0</v>
      </c>
      <c r="I12" s="17">
        <f>MOD(TRUNC((1048576+$U12)/256),2)</f>
        <v>0</v>
      </c>
      <c r="J12" s="17">
        <f>MOD(TRUNC((1048576+$U12)/128),2)</f>
        <v>1</v>
      </c>
      <c r="K12" s="17">
        <f>MOD(TRUNC((1048576+$U12)/64),2)</f>
        <v>0</v>
      </c>
      <c r="L12" s="17">
        <f>MOD(TRUNC((1048576+$U12)/32),2)</f>
        <v>1</v>
      </c>
      <c r="M12" s="17">
        <f>MOD(TRUNC((1048576+$U12)/16),2)</f>
        <v>1</v>
      </c>
      <c r="N12" s="17">
        <f>MOD(TRUNC((1048576+$U12)/8),2)</f>
        <v>1</v>
      </c>
      <c r="O12" s="17">
        <f>MOD(TRUNC((1048576+$U12)/4),2)</f>
        <v>1</v>
      </c>
      <c r="P12" s="17">
        <f>MOD(TRUNC((1048576+$U12)/2),2)</f>
        <v>1</v>
      </c>
      <c r="Q12" s="17">
        <f>MOD(1048576+U12,2)</f>
        <v>1</v>
      </c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34BF</v>
      </c>
      <c r="U12" s="17">
        <f>SUM(U9:U10)</f>
        <v>13503</v>
      </c>
    </row>
    <row r="15" spans="1:17" ht="27">
      <c r="A15" s="19" t="str">
        <f>'Registers -- Start'!O14</f>
        <v>N</v>
      </c>
      <c r="Q15" s="17">
        <f>'Registers -- Start'!O15</f>
        <v>1</v>
      </c>
    </row>
    <row r="16" spans="1:17" ht="27">
      <c r="A16" s="19" t="str">
        <f>'Registers -- Start'!P14</f>
        <v>Z</v>
      </c>
      <c r="Q16" s="17">
        <f>'Registers -- Start'!P15</f>
        <v>0</v>
      </c>
    </row>
    <row r="17" spans="1:17" ht="27">
      <c r="A17" s="19" t="str">
        <f>'Registers -- Start'!Q14</f>
        <v>P</v>
      </c>
      <c r="Q17" s="17">
        <f>'Registers -- Start'!Q15</f>
        <v>0</v>
      </c>
    </row>
  </sheetData>
  <sheetProtection sheet="1" objects="1" scenarios="1"/>
  <mergeCells count="5">
    <mergeCell ref="A4:C4"/>
    <mergeCell ref="D4:E4"/>
    <mergeCell ref="F4:I4"/>
    <mergeCell ref="B6:H6"/>
    <mergeCell ref="I6:Q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5.7109375" style="14" customWidth="1"/>
    <col min="21" max="21" width="15.7109375" style="14" customWidth="1"/>
    <col min="22" max="16384" width="9.140625" style="14" customWidth="1"/>
  </cols>
  <sheetData>
    <row r="1" spans="1:21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  <c r="S1" s="36" t="s">
        <v>25</v>
      </c>
      <c r="U1" s="36" t="s">
        <v>26</v>
      </c>
    </row>
    <row r="2" spans="1:19" ht="27">
      <c r="A2" s="16" t="s">
        <v>4</v>
      </c>
      <c r="B2" s="35">
        <v>1</v>
      </c>
      <c r="C2" s="35">
        <v>1</v>
      </c>
      <c r="D2" s="35">
        <v>0</v>
      </c>
      <c r="E2" s="35">
        <v>0</v>
      </c>
      <c r="F2" s="44">
        <v>0</v>
      </c>
      <c r="G2" s="44">
        <v>0</v>
      </c>
      <c r="H2" s="44">
        <v>0</v>
      </c>
      <c r="I2" s="11">
        <v>1</v>
      </c>
      <c r="J2" s="11">
        <v>0</v>
      </c>
      <c r="K2" s="11">
        <v>1</v>
      </c>
      <c r="L2" s="44">
        <v>0</v>
      </c>
      <c r="M2" s="44">
        <v>0</v>
      </c>
      <c r="N2" s="44">
        <v>0</v>
      </c>
      <c r="O2" s="44">
        <v>0</v>
      </c>
      <c r="P2" s="44">
        <v>0</v>
      </c>
      <c r="Q2" s="44">
        <v>0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C140</v>
      </c>
    </row>
    <row r="4" spans="1:9" ht="25.5">
      <c r="A4" s="74" t="s">
        <v>5</v>
      </c>
      <c r="B4" s="74"/>
      <c r="C4" s="74"/>
      <c r="D4" s="75">
        <f>8*B2+4*C2+2*D2+E2</f>
        <v>12</v>
      </c>
      <c r="E4" s="75"/>
      <c r="F4" s="76" t="s">
        <v>27</v>
      </c>
      <c r="G4" s="76"/>
      <c r="H4" s="76"/>
      <c r="I4" s="76"/>
    </row>
    <row r="6" spans="2:17" ht="27">
      <c r="B6" s="81" t="str">
        <f>F4</f>
        <v>JMP</v>
      </c>
      <c r="C6" s="81"/>
      <c r="D6" s="81"/>
      <c r="E6" s="81"/>
      <c r="F6" s="40">
        <f>F2</f>
        <v>0</v>
      </c>
      <c r="G6" s="40">
        <f>G2</f>
        <v>0</v>
      </c>
      <c r="H6" s="40">
        <f>H2</f>
        <v>0</v>
      </c>
      <c r="I6" s="82">
        <f>I2*4+J2*2+K2</f>
        <v>5</v>
      </c>
      <c r="J6" s="82"/>
      <c r="K6" s="82"/>
      <c r="L6" s="41">
        <f>L2</f>
        <v>0</v>
      </c>
      <c r="M6" s="41">
        <f aca="true" t="shared" si="0" ref="L6:Q6">M2</f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41">
        <f t="shared" si="0"/>
        <v>0</v>
      </c>
    </row>
    <row r="8" spans="1:21" ht="27">
      <c r="A8" s="16" t="str">
        <f>CONCATENATE("R",I6)</f>
        <v>R5</v>
      </c>
      <c r="B8" s="17">
        <f>INDEX('Registers -- Start'!B2:B9,$I6+1,1)</f>
        <v>1</v>
      </c>
      <c r="C8" s="17">
        <f>INDEX('Registers -- Start'!C2:C9,$I6+1,1)</f>
        <v>0</v>
      </c>
      <c r="D8" s="17">
        <f>INDEX('Registers -- Start'!D2:D9,$I6+1,1)</f>
        <v>1</v>
      </c>
      <c r="E8" s="17">
        <f>INDEX('Registers -- Start'!E2:E9,$I6+1,1)</f>
        <v>1</v>
      </c>
      <c r="F8" s="17">
        <f>INDEX('Registers -- Start'!F2:F9,$I6+1,1)</f>
        <v>0</v>
      </c>
      <c r="G8" s="17">
        <f>INDEX('Registers -- Start'!G2:G9,$I6+1,1)</f>
        <v>1</v>
      </c>
      <c r="H8" s="17">
        <f>INDEX('Registers -- Start'!H2:H9,$I6+1,1)</f>
        <v>0</v>
      </c>
      <c r="I8" s="17">
        <f>INDEX('Registers -- Start'!I2:I9,$I6+1,1)</f>
        <v>1</v>
      </c>
      <c r="J8" s="17">
        <f>INDEX('Registers -- Start'!J2:J9,$I6+1,1)</f>
        <v>0</v>
      </c>
      <c r="K8" s="17">
        <f>INDEX('Registers -- Start'!K2:K9,$I6+1,1)</f>
        <v>1</v>
      </c>
      <c r="L8" s="17">
        <f>INDEX('Registers -- Start'!L2:L9,$I6+1,1)</f>
        <v>0</v>
      </c>
      <c r="M8" s="17">
        <f>INDEX('Registers -- Start'!M2:M9,$I6+1,1)</f>
        <v>1</v>
      </c>
      <c r="N8" s="17">
        <f>INDEX('Registers -- Start'!N2:N9,$I6+1,1)</f>
        <v>1</v>
      </c>
      <c r="O8" s="17">
        <f>INDEX('Registers -- Start'!O2:O9,$I6+1,1)</f>
        <v>1</v>
      </c>
      <c r="P8" s="17">
        <f>INDEX('Registers -- Start'!P2:P9,$I6+1,1)</f>
        <v>1</v>
      </c>
      <c r="Q8" s="17">
        <f>INDEX('Registers -- Start'!Q2:Q9,$I6+1,1)</f>
        <v>1</v>
      </c>
      <c r="R8" s="22"/>
      <c r="S8" s="18" t="str">
        <f>CONCATENATE(IF(B8*8+C8*4+D8*2+E8&lt;10,CHAR(B8*8+C8*4+D8*2+E8+48),CHAR(B8*8+C8*4+D8*2+E8+55)),IF(F8*8+G8*4+H8*2+I8&lt;10,CHAR(F8*8+G8*4+H8*2+I8+48),CHAR(F8*8+G8*4+H8*2+I8+55)),IF(J8*8+K8*4+L8*2+M8&lt;10,CHAR(J8*8+K8*4+L8*2+M8+48),CHAR(J8*8+K8*4+L8*2+M8+55)),IF(N8*8+O8*4+P8*2+Q8&lt;10,CHAR(N8*8+O8*4+P8*2+Q8+48),CHAR(N8*8+O8*4+P8*2+Q8+55)))</f>
        <v>B55F</v>
      </c>
      <c r="U8" s="17">
        <f>B8*32768+C8*16384+D8*8192+E8*4096+F8*2048+G8*1024+H8*512+I8*256+J8*128+K8*64+L8*32+M8*16+N8*8+O8*4+P8*2+Q8</f>
        <v>46431</v>
      </c>
    </row>
    <row r="10" spans="1:21" ht="27">
      <c r="A10" s="16" t="s">
        <v>35</v>
      </c>
      <c r="B10" s="17">
        <f>B8</f>
        <v>1</v>
      </c>
      <c r="C10" s="17">
        <f aca="true" t="shared" si="1" ref="C10:Q10">C8</f>
        <v>0</v>
      </c>
      <c r="D10" s="17">
        <f t="shared" si="1"/>
        <v>1</v>
      </c>
      <c r="E10" s="17">
        <f t="shared" si="1"/>
        <v>1</v>
      </c>
      <c r="F10" s="17">
        <f t="shared" si="1"/>
        <v>0</v>
      </c>
      <c r="G10" s="17">
        <f t="shared" si="1"/>
        <v>1</v>
      </c>
      <c r="H10" s="17">
        <f t="shared" si="1"/>
        <v>0</v>
      </c>
      <c r="I10" s="17">
        <f t="shared" si="1"/>
        <v>1</v>
      </c>
      <c r="J10" s="17">
        <f t="shared" si="1"/>
        <v>0</v>
      </c>
      <c r="K10" s="17">
        <f t="shared" si="1"/>
        <v>1</v>
      </c>
      <c r="L10" s="17">
        <f t="shared" si="1"/>
        <v>0</v>
      </c>
      <c r="M10" s="17">
        <f t="shared" si="1"/>
        <v>1</v>
      </c>
      <c r="N10" s="17">
        <f t="shared" si="1"/>
        <v>1</v>
      </c>
      <c r="O10" s="17">
        <f t="shared" si="1"/>
        <v>1</v>
      </c>
      <c r="P10" s="17">
        <f t="shared" si="1"/>
        <v>1</v>
      </c>
      <c r="Q10" s="17">
        <f t="shared" si="1"/>
        <v>1</v>
      </c>
      <c r="R10" s="22"/>
      <c r="S10" s="18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B55F</v>
      </c>
      <c r="U10" s="17">
        <f>B10*32768+C10*16384+D10*8192+E10*4096+F10*2048+G10*1024+H10*512+I10*256+J10*128+K10*64+L10*32+M10*16+N10*8+O10*4+P10*2+Q10</f>
        <v>46431</v>
      </c>
    </row>
  </sheetData>
  <sheetProtection sheet="1" objects="1" scenarios="1"/>
  <mergeCells count="5">
    <mergeCell ref="A4:C4"/>
    <mergeCell ref="D4:E4"/>
    <mergeCell ref="F4:I4"/>
    <mergeCell ref="B6:E6"/>
    <mergeCell ref="I6:K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9.140625" style="14" customWidth="1"/>
    <col min="21" max="21" width="15.7109375" style="14" customWidth="1"/>
    <col min="22" max="16384" width="9.140625" style="14" customWidth="1"/>
  </cols>
  <sheetData>
    <row r="1" spans="1:17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</row>
    <row r="2" spans="1:19" ht="27">
      <c r="A2" s="16" t="s">
        <v>4</v>
      </c>
      <c r="B2" s="35">
        <v>0</v>
      </c>
      <c r="C2" s="35">
        <v>1</v>
      </c>
      <c r="D2" s="35">
        <v>0</v>
      </c>
      <c r="E2" s="35">
        <v>0</v>
      </c>
      <c r="F2" s="44">
        <v>1</v>
      </c>
      <c r="G2" s="11">
        <v>1</v>
      </c>
      <c r="H2" s="11">
        <v>0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4D40</v>
      </c>
    </row>
    <row r="4" spans="1:9" ht="25.5">
      <c r="A4" s="74" t="s">
        <v>5</v>
      </c>
      <c r="B4" s="74"/>
      <c r="C4" s="74"/>
      <c r="D4" s="75">
        <f>8*B2+4*C2+2*D2+E2</f>
        <v>4</v>
      </c>
      <c r="E4" s="75"/>
      <c r="F4" s="76" t="s">
        <v>30</v>
      </c>
      <c r="G4" s="76"/>
      <c r="H4" s="76"/>
      <c r="I4" s="76"/>
    </row>
    <row r="6" spans="2:17" ht="27">
      <c r="B6" s="87" t="s">
        <v>30</v>
      </c>
      <c r="C6" s="87"/>
      <c r="D6" s="87"/>
      <c r="E6" s="88"/>
      <c r="F6" s="28">
        <v>1</v>
      </c>
      <c r="G6" s="83">
        <f>-G2*1024+H2*512+I2*256+J2*128+K2*64+L2*32+M2*16+N2*8+O2*4+P2*2+Q2</f>
        <v>-704</v>
      </c>
      <c r="H6" s="84"/>
      <c r="I6" s="84"/>
      <c r="J6" s="84"/>
      <c r="K6" s="84"/>
      <c r="L6" s="84"/>
      <c r="M6" s="84"/>
      <c r="N6" s="84"/>
      <c r="O6" s="84"/>
      <c r="P6" s="84"/>
      <c r="Q6" s="85"/>
    </row>
    <row r="8" spans="1:21" ht="27">
      <c r="A8" s="16" t="s">
        <v>0</v>
      </c>
      <c r="B8" s="17">
        <f>'Registers -- Start'!B11</f>
        <v>0</v>
      </c>
      <c r="C8" s="17">
        <f>'Registers -- Start'!C11</f>
        <v>0</v>
      </c>
      <c r="D8" s="17">
        <f>'Registers -- Start'!D11</f>
        <v>1</v>
      </c>
      <c r="E8" s="17">
        <f>'Registers -- Start'!E11</f>
        <v>1</v>
      </c>
      <c r="F8" s="17">
        <f>'Registers -- Start'!F11</f>
        <v>0</v>
      </c>
      <c r="G8" s="17">
        <f>'Registers -- Start'!G11</f>
        <v>1</v>
      </c>
      <c r="H8" s="17">
        <f>'Registers -- Start'!H11</f>
        <v>0</v>
      </c>
      <c r="I8" s="17">
        <f>'Registers -- Start'!I11</f>
        <v>1</v>
      </c>
      <c r="J8" s="17">
        <f>'Registers -- Start'!J11</f>
        <v>0</v>
      </c>
      <c r="K8" s="17">
        <f>'Registers -- Start'!K11</f>
        <v>1</v>
      </c>
      <c r="L8" s="17">
        <f>'Registers -- Start'!L11</f>
        <v>1</v>
      </c>
      <c r="M8" s="17">
        <f>'Registers -- Start'!M11</f>
        <v>1</v>
      </c>
      <c r="N8" s="17">
        <f>'Registers -- Start'!N11</f>
        <v>1</v>
      </c>
      <c r="O8" s="17">
        <f>'Registers -- Start'!O11</f>
        <v>0</v>
      </c>
      <c r="P8" s="17">
        <f>'Registers -- Start'!P11</f>
        <v>0</v>
      </c>
      <c r="Q8" s="17">
        <f>'Registers -- Start'!Q11</f>
        <v>1</v>
      </c>
      <c r="R8" s="22">
        <f>B8*(-32768)+C8*16384+D8*8192+E8*4096+F8*2048+G8*1024+H8*512+I8*256+J8*128+K8*64+L8*32+M8*16+N8*8+O8*4+P8*2+Q8</f>
        <v>13689</v>
      </c>
      <c r="S8" s="18" t="str">
        <f>IF(F2=1,CONCATENATE(IF(B8*8+C8*4+D8*2+E8&lt;10,CHAR(B8*8+C8*4+D8*2+E8+48),CHAR(B8*8+C8*4+D8*2+E8+55)),IF(F8*8+G8*4+H8*2+I8&lt;10,CHAR(F8*8+G8*4+H8*2+I8+48),CHAR(F8*8+G8*4+H8*2+I8+55)),IF(J8*8+K8*4+L8*2+M8&lt;10,CHAR(J8*8+K8*4+L8*2+M8+48),CHAR(J8*8+K8*4+L8*2+M8+55)),IF(N8*8+O8*4+P8*2+Q8&lt;10,CHAR(N8*8+O8*4+P8*2+Q8+48),CHAR(N8*8+O8*4+P8*2+Q8+55))),"")</f>
        <v>3579</v>
      </c>
      <c r="U8" s="17">
        <f>B8*(-32768)+C8*16384+D8*8192+E8*4096+F8*2048+G8*1024+H8*512+I8*256+J8*128+K8*64+L8*32+M8*16+N8*8+O8*4+P8*2+Q8</f>
        <v>13689</v>
      </c>
    </row>
    <row r="9" spans="1:21" ht="27">
      <c r="A9" s="39" t="s">
        <v>37</v>
      </c>
      <c r="B9" s="17">
        <f>MOD(TRUNC((1048576+$U9)/32768),2)</f>
        <v>0</v>
      </c>
      <c r="C9" s="17">
        <f>MOD(TRUNC((1048576+$U9)/16384),2)</f>
        <v>0</v>
      </c>
      <c r="D9" s="17">
        <f>MOD(TRUNC((1048576+$U9)/8192),2)</f>
        <v>1</v>
      </c>
      <c r="E9" s="17">
        <f>MOD(TRUNC((1048576+$U9)/4096),2)</f>
        <v>1</v>
      </c>
      <c r="F9" s="17">
        <f>MOD(TRUNC((1048576+$U9)/2048),2)</f>
        <v>0</v>
      </c>
      <c r="G9" s="17">
        <f>MOD(TRUNC((1048576+$U9)/1024),2)</f>
        <v>1</v>
      </c>
      <c r="H9" s="17">
        <f>MOD(TRUNC((1048576+$U9)/512),2)</f>
        <v>0</v>
      </c>
      <c r="I9" s="17">
        <f>MOD(TRUNC((1048576+$U9)/256),2)</f>
        <v>1</v>
      </c>
      <c r="J9" s="17">
        <f>MOD(TRUNC((1048576+$U9)/128),2)</f>
        <v>0</v>
      </c>
      <c r="K9" s="17">
        <f>MOD(TRUNC((1048576+$U9)/64),2)</f>
        <v>1</v>
      </c>
      <c r="L9" s="17">
        <f>MOD(TRUNC((1048576+$U9)/32),2)</f>
        <v>1</v>
      </c>
      <c r="M9" s="17">
        <f>MOD(TRUNC((1048576+$U9)/16),2)</f>
        <v>1</v>
      </c>
      <c r="N9" s="17">
        <f>MOD(TRUNC((1048576+$U9)/8),2)</f>
        <v>1</v>
      </c>
      <c r="O9" s="17">
        <f>MOD(TRUNC((1048576+$U9)/4),2)</f>
        <v>0</v>
      </c>
      <c r="P9" s="17">
        <f>MOD(TRUNC((1048576+$U9)/2),2)</f>
        <v>1</v>
      </c>
      <c r="Q9" s="17">
        <f>MOD(1048576+U9,2)</f>
        <v>0</v>
      </c>
      <c r="R9" s="22"/>
      <c r="S9" s="18" t="str">
        <f>CONCATENATE(IF(B9*8+C9*4+D9*2+E9&lt;10,CHAR(B9*8+C9*4+D9*2+E9+48),CHAR(B9*8+C9*4+D9*2+E9+55)),IF(F9*8+G9*4+H9*2+I9&lt;10,CHAR(F9*8+G9*4+H9*2+I9+48),CHAR(F9*8+G9*4+H9*2+I9+55)),IF(J9*8+K9*4+L9*2+M9&lt;10,CHAR(J9*8+K9*4+L9*2+M9+48),CHAR(J9*8+K9*4+L9*2+M9+55)),IF(N9*8+O9*4+P9*2+Q9&lt;10,CHAR(N9*8+O9*4+P9*2+Q9+48),CHAR(N9*8+O9*4+P9*2+Q9+55)))</f>
        <v>357A</v>
      </c>
      <c r="U9" s="17">
        <f>IF(U8=65535,0,U8+1)</f>
        <v>13690</v>
      </c>
    </row>
    <row r="10" spans="1:21" ht="27">
      <c r="A10" s="45" t="s">
        <v>17</v>
      </c>
      <c r="B10" s="38">
        <f>C10</f>
        <v>1</v>
      </c>
      <c r="C10" s="38">
        <f>D10</f>
        <v>1</v>
      </c>
      <c r="D10" s="38">
        <f>E10</f>
        <v>1</v>
      </c>
      <c r="E10" s="38">
        <f>F10</f>
        <v>1</v>
      </c>
      <c r="F10" s="38">
        <f>G10</f>
        <v>1</v>
      </c>
      <c r="G10" s="17">
        <f>IF($F2=1,G2,"")</f>
        <v>1</v>
      </c>
      <c r="H10" s="17">
        <f aca="true" t="shared" si="0" ref="H10:Q10">IF($F2=1,H2,"")</f>
        <v>0</v>
      </c>
      <c r="I10" s="17">
        <f t="shared" si="0"/>
        <v>1</v>
      </c>
      <c r="J10" s="17">
        <f t="shared" si="0"/>
        <v>0</v>
      </c>
      <c r="K10" s="17">
        <f t="shared" si="0"/>
        <v>1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22"/>
      <c r="S10" s="18" t="str">
        <f>IF(F2=1,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,"")</f>
        <v>FD40</v>
      </c>
      <c r="U10" s="17">
        <f>B10*(-32768)+C10*16384+D10*8192+E10*4096+F10*2048+G10*1024+H10*512+I10*256+J10*128+K10*64+L10*32+M10*16+N10*8+O10*4+P10*2+Q10</f>
        <v>-704</v>
      </c>
    </row>
    <row r="12" spans="1:21" ht="27">
      <c r="A12" s="16" t="s">
        <v>35</v>
      </c>
      <c r="B12" s="17">
        <f>MOD(TRUNC((1048576+$U12)/32768),2)</f>
        <v>0</v>
      </c>
      <c r="C12" s="17">
        <f>MOD(TRUNC((1048576+$U12)/16384),2)</f>
        <v>0</v>
      </c>
      <c r="D12" s="17">
        <f>MOD(TRUNC((1048576+$U12)/8192),2)</f>
        <v>1</v>
      </c>
      <c r="E12" s="17">
        <f>MOD(TRUNC((1048576+$U12)/4096),2)</f>
        <v>1</v>
      </c>
      <c r="F12" s="17">
        <f>MOD(TRUNC((1048576+$U12)/2048),2)</f>
        <v>0</v>
      </c>
      <c r="G12" s="17">
        <f>MOD(TRUNC((1048576+$U12)/1024),2)</f>
        <v>0</v>
      </c>
      <c r="H12" s="17">
        <f>MOD(TRUNC((1048576+$U12)/512),2)</f>
        <v>1</v>
      </c>
      <c r="I12" s="17">
        <f>MOD(TRUNC((1048576+$U12)/256),2)</f>
        <v>0</v>
      </c>
      <c r="J12" s="17">
        <f>MOD(TRUNC((1048576+$U12)/128),2)</f>
        <v>1</v>
      </c>
      <c r="K12" s="17">
        <f>MOD(TRUNC((1048576+$U12)/64),2)</f>
        <v>0</v>
      </c>
      <c r="L12" s="17">
        <f>MOD(TRUNC((1048576+$U12)/32),2)</f>
        <v>1</v>
      </c>
      <c r="M12" s="17">
        <f>MOD(TRUNC((1048576+$U12)/16),2)</f>
        <v>1</v>
      </c>
      <c r="N12" s="17">
        <f>MOD(TRUNC((1048576+$U12)/8),2)</f>
        <v>1</v>
      </c>
      <c r="O12" s="17">
        <f>MOD(TRUNC((1048576+$U12)/4),2)</f>
        <v>0</v>
      </c>
      <c r="P12" s="17">
        <f>MOD(TRUNC((1048576+$U12)/2),2)</f>
        <v>1</v>
      </c>
      <c r="Q12" s="17">
        <f>MOD(1048576+U12,2)</f>
        <v>0</v>
      </c>
      <c r="R12" s="21"/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32BA</v>
      </c>
      <c r="U12" s="17">
        <f>U9+U10</f>
        <v>12986</v>
      </c>
    </row>
    <row r="13" spans="1:21" ht="27">
      <c r="A13" s="16" t="s">
        <v>36</v>
      </c>
      <c r="B13" s="17">
        <f>B8</f>
        <v>0</v>
      </c>
      <c r="C13" s="17">
        <f aca="true" t="shared" si="1" ref="C13:Q13">C8</f>
        <v>0</v>
      </c>
      <c r="D13" s="17">
        <f t="shared" si="1"/>
        <v>1</v>
      </c>
      <c r="E13" s="17">
        <f t="shared" si="1"/>
        <v>1</v>
      </c>
      <c r="F13" s="17">
        <f t="shared" si="1"/>
        <v>0</v>
      </c>
      <c r="G13" s="17">
        <f t="shared" si="1"/>
        <v>1</v>
      </c>
      <c r="H13" s="17">
        <f t="shared" si="1"/>
        <v>0</v>
      </c>
      <c r="I13" s="17">
        <f t="shared" si="1"/>
        <v>1</v>
      </c>
      <c r="J13" s="17">
        <f t="shared" si="1"/>
        <v>0</v>
      </c>
      <c r="K13" s="17">
        <f t="shared" si="1"/>
        <v>1</v>
      </c>
      <c r="L13" s="17">
        <f t="shared" si="1"/>
        <v>1</v>
      </c>
      <c r="M13" s="17">
        <f t="shared" si="1"/>
        <v>1</v>
      </c>
      <c r="N13" s="17">
        <f t="shared" si="1"/>
        <v>1</v>
      </c>
      <c r="O13" s="17">
        <f t="shared" si="1"/>
        <v>0</v>
      </c>
      <c r="P13" s="17">
        <f t="shared" si="1"/>
        <v>0</v>
      </c>
      <c r="Q13" s="17">
        <f t="shared" si="1"/>
        <v>1</v>
      </c>
      <c r="R13" s="21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3579</v>
      </c>
      <c r="U13" s="17">
        <f>U10+U11</f>
        <v>-704</v>
      </c>
    </row>
  </sheetData>
  <sheetProtection sheet="1" objects="1" scenarios="1"/>
  <mergeCells count="5">
    <mergeCell ref="G6:Q6"/>
    <mergeCell ref="A4:C4"/>
    <mergeCell ref="D4:E4"/>
    <mergeCell ref="F4:I4"/>
    <mergeCell ref="B6:E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17" width="3.7109375" style="14" customWidth="1"/>
    <col min="18" max="18" width="5.7109375" style="14" customWidth="1"/>
    <col min="19" max="19" width="12.7109375" style="15" customWidth="1"/>
    <col min="20" max="20" width="9.140625" style="14" customWidth="1"/>
    <col min="21" max="21" width="15.7109375" style="14" customWidth="1"/>
    <col min="22" max="16384" width="9.140625" style="14" customWidth="1"/>
  </cols>
  <sheetData>
    <row r="1" spans="1:17" ht="12.75">
      <c r="A1" s="13"/>
      <c r="B1" s="14">
        <v>15</v>
      </c>
      <c r="C1" s="14">
        <v>14</v>
      </c>
      <c r="D1" s="14">
        <v>13</v>
      </c>
      <c r="E1" s="14">
        <v>12</v>
      </c>
      <c r="F1" s="14">
        <v>11</v>
      </c>
      <c r="G1" s="14">
        <v>10</v>
      </c>
      <c r="H1" s="14">
        <v>9</v>
      </c>
      <c r="I1" s="14">
        <v>8</v>
      </c>
      <c r="J1" s="14">
        <v>7</v>
      </c>
      <c r="K1" s="14">
        <v>6</v>
      </c>
      <c r="L1" s="14">
        <v>5</v>
      </c>
      <c r="M1" s="14">
        <v>4</v>
      </c>
      <c r="N1" s="14">
        <v>3</v>
      </c>
      <c r="O1" s="14">
        <v>2</v>
      </c>
      <c r="P1" s="14">
        <v>1</v>
      </c>
      <c r="Q1" s="14">
        <v>0</v>
      </c>
    </row>
    <row r="2" spans="1:19" ht="27">
      <c r="A2" s="16" t="s">
        <v>4</v>
      </c>
      <c r="B2" s="35">
        <v>0</v>
      </c>
      <c r="C2" s="35">
        <v>1</v>
      </c>
      <c r="D2" s="35">
        <v>0</v>
      </c>
      <c r="E2" s="35">
        <v>0</v>
      </c>
      <c r="F2" s="44">
        <v>0</v>
      </c>
      <c r="G2" s="44">
        <v>0</v>
      </c>
      <c r="H2" s="44">
        <v>0</v>
      </c>
      <c r="I2" s="11">
        <v>1</v>
      </c>
      <c r="J2" s="11">
        <v>0</v>
      </c>
      <c r="K2" s="11">
        <v>1</v>
      </c>
      <c r="L2" s="44">
        <v>0</v>
      </c>
      <c r="M2" s="44">
        <v>0</v>
      </c>
      <c r="N2" s="44">
        <v>0</v>
      </c>
      <c r="O2" s="44">
        <v>0</v>
      </c>
      <c r="P2" s="44">
        <v>0</v>
      </c>
      <c r="Q2" s="44">
        <v>0</v>
      </c>
      <c r="S2" s="18" t="str">
        <f>CONCATENATE(IF(B2*8+C2*4+D2*2+E2&lt;10,CHAR(B2*8+C2*4+D2*2+E2+48),CHAR(B2*8+C2*4+D2*2+E2+55)),IF(F2*8+G2*4+H2*2+I2&lt;10,CHAR(F2*8+G2*4+H2*2+I2+48),CHAR(F2*8+G2*4+H2*2+I2+55)),IF(J2*8+K2*4+L2*2+M2&lt;10,CHAR(J2*8+K2*4+L2*2+M2+48),CHAR(J2*8+K2*4+L2*2+M2+55)),IF(N2*8+O2*4+P2*2+Q2&lt;10,CHAR(N2*8+O2*4+P2*2+Q2+48),CHAR(N2*8+O2*4+P2*2+Q2+55)))</f>
        <v>4140</v>
      </c>
    </row>
    <row r="4" spans="1:9" ht="25.5">
      <c r="A4" s="74" t="s">
        <v>5</v>
      </c>
      <c r="B4" s="74"/>
      <c r="C4" s="74"/>
      <c r="D4" s="75">
        <f>8*B2+4*C2+2*D2+E2</f>
        <v>4</v>
      </c>
      <c r="E4" s="75"/>
      <c r="F4" s="76" t="s">
        <v>31</v>
      </c>
      <c r="G4" s="76"/>
      <c r="H4" s="76"/>
      <c r="I4" s="76"/>
    </row>
    <row r="6" spans="2:17" ht="27">
      <c r="B6" s="87" t="s">
        <v>31</v>
      </c>
      <c r="C6" s="87"/>
      <c r="D6" s="87"/>
      <c r="E6" s="87"/>
      <c r="F6" s="27">
        <v>0</v>
      </c>
      <c r="G6" s="46">
        <v>0</v>
      </c>
      <c r="H6" s="46">
        <v>0</v>
      </c>
      <c r="I6" s="89">
        <f>4*I2+2*J2+K2</f>
        <v>5</v>
      </c>
      <c r="J6" s="89"/>
      <c r="K6" s="89"/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8" spans="1:21" ht="27">
      <c r="A8" s="16" t="s">
        <v>0</v>
      </c>
      <c r="B8" s="17">
        <f>'Registers -- Start'!B11</f>
        <v>0</v>
      </c>
      <c r="C8" s="17">
        <f>'Registers -- Start'!C11</f>
        <v>0</v>
      </c>
      <c r="D8" s="17">
        <f>'Registers -- Start'!D11</f>
        <v>1</v>
      </c>
      <c r="E8" s="17">
        <f>'Registers -- Start'!E11</f>
        <v>1</v>
      </c>
      <c r="F8" s="17">
        <f>'Registers -- Start'!F11</f>
        <v>0</v>
      </c>
      <c r="G8" s="17">
        <f>'Registers -- Start'!G11</f>
        <v>1</v>
      </c>
      <c r="H8" s="17">
        <f>'Registers -- Start'!H11</f>
        <v>0</v>
      </c>
      <c r="I8" s="17">
        <f>'Registers -- Start'!I11</f>
        <v>1</v>
      </c>
      <c r="J8" s="17">
        <f>'Registers -- Start'!J11</f>
        <v>0</v>
      </c>
      <c r="K8" s="17">
        <f>'Registers -- Start'!K11</f>
        <v>1</v>
      </c>
      <c r="L8" s="17">
        <f>'Registers -- Start'!L11</f>
        <v>1</v>
      </c>
      <c r="M8" s="17">
        <f>'Registers -- Start'!M11</f>
        <v>1</v>
      </c>
      <c r="N8" s="17">
        <f>'Registers -- Start'!N11</f>
        <v>1</v>
      </c>
      <c r="O8" s="17">
        <f>'Registers -- Start'!O11</f>
        <v>0</v>
      </c>
      <c r="P8" s="17">
        <f>'Registers -- Start'!P11</f>
        <v>0</v>
      </c>
      <c r="Q8" s="17">
        <f>'Registers -- Start'!Q11</f>
        <v>1</v>
      </c>
      <c r="R8" s="22"/>
      <c r="S8" s="18" t="str">
        <f>CONCATENATE(IF(B8*8+C8*4+D8*2+E8&lt;10,CHAR(B8*8+C8*4+D8*2+E8+48),CHAR(B8*8+C8*4+D8*2+E8+55)),IF(F8*8+G8*4+H8*2+I8&lt;10,CHAR(F8*8+G8*4+H8*2+I8+48),CHAR(F8*8+G8*4+H8*2+I8+55)),IF(J8*8+K8*4+L8*2+M8&lt;10,CHAR(J8*8+K8*4+L8*2+M8+48),CHAR(J8*8+K8*4+L8*2+M8+55)),IF(N8*8+O8*4+P8*2+Q8&lt;10,CHAR(N8*8+O8*4+P8*2+Q8+48),CHAR(N8*8+O8*4+P8*2+Q8+55)))</f>
        <v>3579</v>
      </c>
      <c r="U8" s="17">
        <f>B8*(-32768)+C8*16384+D8*8192+E8*4096+F8*2048+G8*1024+H8*512+I8*256+J8*128+K8*64+L8*32+M8*16+N8*8+O8*4+P8*2+Q8</f>
        <v>13689</v>
      </c>
    </row>
    <row r="9" spans="1:21" ht="27">
      <c r="A9" s="39" t="s">
        <v>37</v>
      </c>
      <c r="B9" s="17">
        <f>MOD(TRUNC((1048576+$U9)/32768),2)</f>
        <v>0</v>
      </c>
      <c r="C9" s="17">
        <f>MOD(TRUNC((1048576+$U9)/16384),2)</f>
        <v>0</v>
      </c>
      <c r="D9" s="17">
        <f>MOD(TRUNC((1048576+$U9)/8192),2)</f>
        <v>1</v>
      </c>
      <c r="E9" s="17">
        <f>MOD(TRUNC((1048576+$U9)/4096),2)</f>
        <v>1</v>
      </c>
      <c r="F9" s="17">
        <f>MOD(TRUNC((1048576+$U9)/2048),2)</f>
        <v>0</v>
      </c>
      <c r="G9" s="17">
        <f>MOD(TRUNC((1048576+$U9)/1024),2)</f>
        <v>1</v>
      </c>
      <c r="H9" s="17">
        <f>MOD(TRUNC((1048576+$U9)/512),2)</f>
        <v>0</v>
      </c>
      <c r="I9" s="17">
        <f>MOD(TRUNC((1048576+$U9)/256),2)</f>
        <v>1</v>
      </c>
      <c r="J9" s="17">
        <f>MOD(TRUNC((1048576+$U9)/128),2)</f>
        <v>0</v>
      </c>
      <c r="K9" s="17">
        <f>MOD(TRUNC((1048576+$U9)/64),2)</f>
        <v>1</v>
      </c>
      <c r="L9" s="17">
        <f>MOD(TRUNC((1048576+$U9)/32),2)</f>
        <v>1</v>
      </c>
      <c r="M9" s="17">
        <f>MOD(TRUNC((1048576+$U9)/16),2)</f>
        <v>1</v>
      </c>
      <c r="N9" s="17">
        <f>MOD(TRUNC((1048576+$U9)/8),2)</f>
        <v>1</v>
      </c>
      <c r="O9" s="17">
        <f>MOD(TRUNC((1048576+$U9)/4),2)</f>
        <v>0</v>
      </c>
      <c r="P9" s="17">
        <f>MOD(TRUNC((1048576+$U9)/2),2)</f>
        <v>1</v>
      </c>
      <c r="Q9" s="17">
        <f>MOD(1048576+U9,2)</f>
        <v>0</v>
      </c>
      <c r="R9" s="22"/>
      <c r="S9" s="18" t="str">
        <f>CONCATENATE(IF(B9*8+C9*4+D9*2+E9&lt;10,CHAR(B9*8+C9*4+D9*2+E9+48),CHAR(B9*8+C9*4+D9*2+E9+55)),IF(F9*8+G9*4+H9*2+I9&lt;10,CHAR(F9*8+G9*4+H9*2+I9+48),CHAR(F9*8+G9*4+H9*2+I9+55)),IF(J9*8+K9*4+L9*2+M9&lt;10,CHAR(J9*8+K9*4+L9*2+M9+48),CHAR(J9*8+K9*4+L9*2+M9+55)),IF(N9*8+O9*4+P9*2+Q9&lt;10,CHAR(N9*8+O9*4+P9*2+Q9+48),CHAR(N9*8+O9*4+P9*2+Q9+55)))</f>
        <v>357A</v>
      </c>
      <c r="U9" s="17">
        <f>IF(U8=65535,0,U8+1)</f>
        <v>13690</v>
      </c>
    </row>
    <row r="10" spans="1:21" ht="27">
      <c r="A10" s="16" t="str">
        <f>CONCATENATE("R",I6)</f>
        <v>R5</v>
      </c>
      <c r="B10" s="17">
        <f>INDEX('Registers -- Start'!B2:B9,$I6+1,1)</f>
        <v>1</v>
      </c>
      <c r="C10" s="17">
        <f>INDEX('Registers -- Start'!C2:C9,$I6+1,1)</f>
        <v>0</v>
      </c>
      <c r="D10" s="17">
        <f>INDEX('Registers -- Start'!D2:D9,$I6+1,1)</f>
        <v>1</v>
      </c>
      <c r="E10" s="17">
        <f>INDEX('Registers -- Start'!E2:E9,$I6+1,1)</f>
        <v>1</v>
      </c>
      <c r="F10" s="17">
        <f>INDEX('Registers -- Start'!F2:F9,$I6+1,1)</f>
        <v>0</v>
      </c>
      <c r="G10" s="17">
        <f>INDEX('Registers -- Start'!G2:G9,$I6+1,1)</f>
        <v>1</v>
      </c>
      <c r="H10" s="17">
        <f>INDEX('Registers -- Start'!H2:H9,$I6+1,1)</f>
        <v>0</v>
      </c>
      <c r="I10" s="17">
        <f>INDEX('Registers -- Start'!I2:I9,$I6+1,1)</f>
        <v>1</v>
      </c>
      <c r="J10" s="17">
        <f>INDEX('Registers -- Start'!J2:J9,$I6+1,1)</f>
        <v>0</v>
      </c>
      <c r="K10" s="17">
        <f>INDEX('Registers -- Start'!K2:K9,$I6+1,1)</f>
        <v>1</v>
      </c>
      <c r="L10" s="17">
        <f>INDEX('Registers -- Start'!L2:L9,$I6+1,1)</f>
        <v>0</v>
      </c>
      <c r="M10" s="17">
        <f>INDEX('Registers -- Start'!M2:M9,$I6+1,1)</f>
        <v>1</v>
      </c>
      <c r="N10" s="17">
        <f>INDEX('Registers -- Start'!N2:N9,$I6+1,1)</f>
        <v>1</v>
      </c>
      <c r="O10" s="17">
        <f>INDEX('Registers -- Start'!O2:O9,$I6+1,1)</f>
        <v>1</v>
      </c>
      <c r="P10" s="17">
        <f>INDEX('Registers -- Start'!P2:P9,$I6+1,1)</f>
        <v>1</v>
      </c>
      <c r="Q10" s="17">
        <f>INDEX('Registers -- Start'!Q2:Q9,$I6+1,1)</f>
        <v>1</v>
      </c>
      <c r="R10" s="22"/>
      <c r="S10" s="18" t="str">
        <f>CONCATENATE(IF(B10*8+C10*4+D10*2+E10&lt;10,CHAR(B10*8+C10*4+D10*2+E10+48),CHAR(B10*8+C10*4+D10*2+E10+55)),IF(F10*8+G10*4+H10*2+I10&lt;10,CHAR(F10*8+G10*4+H10*2+I10+48),CHAR(F10*8+G10*4+H10*2+I10+55)),IF(J10*8+K10*4+L10*2+M10&lt;10,CHAR(J10*8+K10*4+L10*2+M10+48),CHAR(J10*8+K10*4+L10*2+M10+55)),IF(N10*8+O10*4+P10*2+Q10&lt;10,CHAR(N10*8+O10*4+P10*2+Q10+48),CHAR(N10*8+O10*4+P10*2+Q10+55)))</f>
        <v>B55F</v>
      </c>
      <c r="U10" s="17">
        <f>B10*(-32768)+C10*16384+D10*8192+E10*4096+F10*2048+G10*1024+H10*512+I10*256+J10*128+K10*64+L10*32+M10*16+N10*8+O10*4+P10*2+Q10</f>
        <v>-19105</v>
      </c>
    </row>
    <row r="12" spans="1:21" ht="27">
      <c r="A12" s="16" t="s">
        <v>35</v>
      </c>
      <c r="B12" s="17">
        <f>IF($I$6=7,B9,B10)</f>
        <v>1</v>
      </c>
      <c r="C12" s="17">
        <f aca="true" t="shared" si="0" ref="C12:Q12">IF($I$6=7,C9,C10)</f>
        <v>0</v>
      </c>
      <c r="D12" s="17">
        <f t="shared" si="0"/>
        <v>1</v>
      </c>
      <c r="E12" s="17">
        <f t="shared" si="0"/>
        <v>1</v>
      </c>
      <c r="F12" s="17">
        <f t="shared" si="0"/>
        <v>0</v>
      </c>
      <c r="G12" s="17">
        <f t="shared" si="0"/>
        <v>1</v>
      </c>
      <c r="H12" s="17">
        <f t="shared" si="0"/>
        <v>0</v>
      </c>
      <c r="I12" s="17">
        <f t="shared" si="0"/>
        <v>1</v>
      </c>
      <c r="J12" s="17">
        <f t="shared" si="0"/>
        <v>0</v>
      </c>
      <c r="K12" s="17">
        <f t="shared" si="0"/>
        <v>1</v>
      </c>
      <c r="L12" s="17">
        <f t="shared" si="0"/>
        <v>0</v>
      </c>
      <c r="M12" s="17">
        <f t="shared" si="0"/>
        <v>1</v>
      </c>
      <c r="N12" s="17">
        <f t="shared" si="0"/>
        <v>1</v>
      </c>
      <c r="O12" s="17">
        <f t="shared" si="0"/>
        <v>1</v>
      </c>
      <c r="P12" s="17">
        <f t="shared" si="0"/>
        <v>1</v>
      </c>
      <c r="Q12" s="17">
        <f t="shared" si="0"/>
        <v>1</v>
      </c>
      <c r="R12" s="22"/>
      <c r="S12" s="18" t="str">
        <f>CONCATENATE(IF(B12*8+C12*4+D12*2+E12&lt;10,CHAR(B12*8+C12*4+D12*2+E12+48),CHAR(B12*8+C12*4+D12*2+E12+55)),IF(F12*8+G12*4+H12*2+I12&lt;10,CHAR(F12*8+G12*4+H12*2+I12+48),CHAR(F12*8+G12*4+H12*2+I12+55)),IF(J12*8+K12*4+L12*2+M12&lt;10,CHAR(J12*8+K12*4+L12*2+M12+48),CHAR(J12*8+K12*4+L12*2+M12+55)),IF(N12*8+O12*4+P12*2+Q12&lt;10,CHAR(N12*8+O12*4+P12*2+Q12+48),CHAR(N12*8+O12*4+P12*2+Q12+55)))</f>
        <v>B55F</v>
      </c>
      <c r="U12" s="17">
        <f>B12*(-32768)+C12*16384+D12*8192+E12*4096+F12*2048+G12*1024+H12*512+I12*256+J12*128+K12*64+L12*32+M12*16+N12*8+O12*4+P12*2+Q12</f>
        <v>-19105</v>
      </c>
    </row>
    <row r="13" spans="1:21" ht="27">
      <c r="A13" s="16" t="s">
        <v>36</v>
      </c>
      <c r="B13" s="17">
        <f>B9</f>
        <v>0</v>
      </c>
      <c r="C13" s="17">
        <f aca="true" t="shared" si="1" ref="C13:Q13">C9</f>
        <v>0</v>
      </c>
      <c r="D13" s="17">
        <f t="shared" si="1"/>
        <v>1</v>
      </c>
      <c r="E13" s="17">
        <f t="shared" si="1"/>
        <v>1</v>
      </c>
      <c r="F13" s="17">
        <f t="shared" si="1"/>
        <v>0</v>
      </c>
      <c r="G13" s="17">
        <f t="shared" si="1"/>
        <v>1</v>
      </c>
      <c r="H13" s="17">
        <f t="shared" si="1"/>
        <v>0</v>
      </c>
      <c r="I13" s="17">
        <f t="shared" si="1"/>
        <v>1</v>
      </c>
      <c r="J13" s="17">
        <f t="shared" si="1"/>
        <v>0</v>
      </c>
      <c r="K13" s="17">
        <f t="shared" si="1"/>
        <v>1</v>
      </c>
      <c r="L13" s="17">
        <f t="shared" si="1"/>
        <v>1</v>
      </c>
      <c r="M13" s="17">
        <f t="shared" si="1"/>
        <v>1</v>
      </c>
      <c r="N13" s="17">
        <f t="shared" si="1"/>
        <v>1</v>
      </c>
      <c r="O13" s="17">
        <f t="shared" si="1"/>
        <v>0</v>
      </c>
      <c r="P13" s="17">
        <f t="shared" si="1"/>
        <v>1</v>
      </c>
      <c r="Q13" s="17">
        <f t="shared" si="1"/>
        <v>0</v>
      </c>
      <c r="R13" s="22"/>
      <c r="S13" s="18" t="str">
        <f>CONCATENATE(IF(B13*8+C13*4+D13*2+E13&lt;10,CHAR(B13*8+C13*4+D13*2+E13+48),CHAR(B13*8+C13*4+D13*2+E13+55)),IF(F13*8+G13*4+H13*2+I13&lt;10,CHAR(F13*8+G13*4+H13*2+I13+48),CHAR(F13*8+G13*4+H13*2+I13+55)),IF(J13*8+K13*4+L13*2+M13&lt;10,CHAR(J13*8+K13*4+L13*2+M13+48),CHAR(J13*8+K13*4+L13*2+M13+55)),IF(N13*8+O13*4+P13*2+Q13&lt;10,CHAR(N13*8+O13*4+P13*2+Q13+48),CHAR(N13*8+O13*4+P13*2+Q13+55)))</f>
        <v>357A</v>
      </c>
      <c r="U13" s="17">
        <f>B13*(-32768)+C13*16384+D13*8192+E13*4096+F13*2048+G13*1024+H13*512+I13*256+J13*128+K13*64+L13*32+M13*16+N13*8+O13*4+P13*2+Q13</f>
        <v>13690</v>
      </c>
    </row>
  </sheetData>
  <sheetProtection sheet="1" objects="1" scenarios="1"/>
  <mergeCells count="5">
    <mergeCell ref="A4:C4"/>
    <mergeCell ref="D4:E4"/>
    <mergeCell ref="F4:I4"/>
    <mergeCell ref="B6:E6"/>
    <mergeCell ref="I6:K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Computer Science</cp:lastModifiedBy>
  <cp:lastPrinted>2001-02-18T22:45:38Z</cp:lastPrinted>
  <dcterms:created xsi:type="dcterms:W3CDTF">2001-02-12T22:47:27Z</dcterms:created>
  <dcterms:modified xsi:type="dcterms:W3CDTF">2007-03-21T06:21:46Z</dcterms:modified>
  <cp:category/>
  <cp:version/>
  <cp:contentType/>
  <cp:contentStatus/>
</cp:coreProperties>
</file>